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55" tabRatio="863" activeTab="0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.a.sz.m.fejlesztés (4)" sheetId="8" r:id="rId8"/>
    <sheet name="6.b.sz.m.intfejl (2)" sheetId="9" r:id="rId9"/>
    <sheet name="7.sz.m.Dologi kiadás (3)" sheetId="10" r:id="rId10"/>
    <sheet name="8.sz.m.szociális kiadások (2)" sheetId="11" r:id="rId11"/>
    <sheet name="9.sz.m.átadott pe (3)" sheetId="12" r:id="rId12"/>
    <sheet name="10. saját bevételek" sheetId="13" r:id="rId13"/>
    <sheet name="11. sz.m. előir felh terv" sheetId="14" r:id="rId14"/>
    <sheet name="12.sz.m. állami támogatás " sheetId="15" r:id="rId15"/>
    <sheet name="13.sz.m.többéves kihatás" sheetId="16" r:id="rId16"/>
    <sheet name="üres lap" sheetId="17" state="hidden" r:id="rId17"/>
  </sheets>
  <externalReferences>
    <externalReference r:id="rId20"/>
    <externalReference r:id="rId21"/>
    <externalReference r:id="rId22"/>
    <externalReference r:id="rId23"/>
  </externalReferences>
  <definedNames>
    <definedName name="_xlfn.IFERROR" hidden="1">#NAME?</definedName>
    <definedName name="_xlnm.Print_Area" localSheetId="1">'1 .sz.m.önk.össz.kiad.'!$A$1:$AD$66</definedName>
    <definedName name="_xlnm.Print_Area" localSheetId="0">'1.sz.m-önk.össze.bev'!$A$1:$W$65</definedName>
    <definedName name="_xlnm.Print_Area" localSheetId="13">'11. sz.m. előir felh terv'!$A$1:$O$23</definedName>
    <definedName name="_xlnm.Print_Area" localSheetId="2">'2.sz.m.összehasonlító'!$A$1:$N$33</definedName>
    <definedName name="_xlnm.Print_Area" localSheetId="3">'3.sz.m Önk  bev.'!$A$1:$Y$63</definedName>
    <definedName name="_xlnm.Print_Area" localSheetId="4">'4.sz.m.ÖNK kiadás'!$A$1:$Y$40</definedName>
    <definedName name="_xlnm.Print_Area" localSheetId="5">'5.1 sz. m Köz Hiv'!$A$1:$AB$53</definedName>
    <definedName name="_xlnm.Print_Area" localSheetId="6">'5.2 sz. m ÁMK'!$A$1:$U$57</definedName>
    <definedName name="_xlnm.Print_Area" localSheetId="7">'6.a.sz.m.fejlesztés (4)'!$A$1:$Y$42</definedName>
    <definedName name="_xlnm.Print_Area" localSheetId="8">'6.b.sz.m.intfejl (2)'!$A$1:$J$34</definedName>
    <definedName name="_xlnm.Print_Area" localSheetId="9">'7.sz.m.Dologi kiadás (3)'!$A$1:$X$39</definedName>
    <definedName name="_xlnm.Print_Area" localSheetId="10">'8.sz.m.szociális kiadások (2)'!$A$1:$W$37</definedName>
    <definedName name="_xlnm.Print_Area" localSheetId="11">'9.sz.m.átadott pe (3)'!$A$1:$AB$116</definedName>
    <definedName name="_xlnm.Print_Area" localSheetId="16">'üres lap'!$A$1:$R$44</definedName>
  </definedNames>
  <calcPr fullCalcOnLoad="1"/>
</workbook>
</file>

<file path=xl/sharedStrings.xml><?xml version="1.0" encoding="utf-8"?>
<sst xmlns="http://schemas.openxmlformats.org/spreadsheetml/2006/main" count="1523" uniqueCount="636">
  <si>
    <t>Személyi juttatások</t>
  </si>
  <si>
    <t>Összesen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</si>
  <si>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</si>
  <si>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</si>
  <si>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</si>
  <si>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</si>
  <si>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</si>
  <si>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</si>
  <si>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</si>
  <si>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</si>
  <si>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</si>
  <si>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</si>
  <si>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</si>
  <si>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</si>
  <si>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</si>
  <si>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</si>
  <si>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>Intézmény</t>
  </si>
  <si>
    <t>Felújítás/beruházás</t>
  </si>
  <si>
    <t>Cím</t>
  </si>
  <si>
    <t>Önkormányzati bevételek és kiadások mérlege</t>
  </si>
  <si>
    <t>Összesen:</t>
  </si>
  <si>
    <t>Államháztartáson kívülre</t>
  </si>
  <si>
    <t>Működési célú</t>
  </si>
  <si>
    <t xml:space="preserve">Felhalmozási célú </t>
  </si>
  <si>
    <t>Mindösszesen:</t>
  </si>
  <si>
    <t>Saját erő</t>
  </si>
  <si>
    <t>1.</t>
  </si>
  <si>
    <t>2.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</si>
  <si>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</si>
  <si>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</si>
  <si>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</si>
  <si>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</si>
  <si>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</si>
  <si>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</si>
  <si>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</si>
  <si>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</si>
  <si>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</si>
  <si>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</si>
  <si>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</si>
  <si>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</si>
  <si>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</si>
  <si>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</si>
  <si>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</si>
  <si>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</si>
  <si>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</si>
  <si>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</si>
  <si>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</si>
  <si>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</si>
  <si>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</si>
  <si>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</si>
  <si>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KÖLTSÉGVETÉSI BEVÉTELEK ÉS KIADÁSOK EGYENLEGE</t>
  </si>
  <si>
    <t>3. sz. táblázat</t>
  </si>
  <si>
    <t>FINANSZÍROZÁSI CÉLÚ PÉNZÜGYI BEVÉTELEK ÉS KIADÁSOK EGYENLEGE ÖSSZESEN</t>
  </si>
  <si>
    <t xml:space="preserve">KÖLTSÉGVETÉSI SZERVEK FELHALMOZÁSI KIADÁSAI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</si>
  <si>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</si>
  <si>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</si>
  <si>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</si>
  <si>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</si>
  <si>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</si>
  <si>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</si>
  <si>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</si>
  <si>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</si>
  <si>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</si>
  <si>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</si>
  <si>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</si>
  <si>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</si>
  <si>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</si>
  <si>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</si>
  <si>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</si>
  <si>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</si>
  <si>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</si>
  <si>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</si>
  <si>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</si>
  <si>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</si>
  <si>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</si>
  <si>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</si>
  <si>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</si>
  <si>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</si>
  <si>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</si>
  <si>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</si>
  <si>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</si>
  <si>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</si>
  <si>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</si>
  <si>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</si>
  <si>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</si>
  <si>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</si>
  <si>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</si>
  <si>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</si>
  <si>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</si>
  <si>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</si>
  <si>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</si>
  <si>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</si>
  <si>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</si>
  <si>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</si>
  <si>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</si>
  <si>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</si>
  <si>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</si>
  <si>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</si>
  <si>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</si>
  <si>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</si>
  <si>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</si>
  <si>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</si>
  <si>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</si>
  <si>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</si>
  <si>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</si>
  <si>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</si>
  <si>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</si>
  <si>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</si>
  <si>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</si>
  <si>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</si>
  <si>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</si>
  <si>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</si>
  <si>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</si>
  <si>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</si>
  <si>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</si>
  <si>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</si>
  <si>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</si>
  <si>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</si>
  <si>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</si>
  <si>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</si>
  <si>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</si>
  <si>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</si>
  <si>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</si>
  <si>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</si>
  <si>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</si>
  <si>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</si>
  <si>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</si>
  <si>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</si>
  <si>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</si>
  <si>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</si>
  <si>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</si>
  <si>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</si>
  <si>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</si>
  <si>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</si>
  <si>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</si>
  <si>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</si>
  <si>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</si>
  <si>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</si>
  <si>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</si>
  <si>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</si>
  <si>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</si>
  <si>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</si>
  <si>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</si>
  <si>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</si>
  <si>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</si>
  <si>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</si>
  <si>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</si>
  <si>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</si>
  <si>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</si>
  <si>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</si>
  <si>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</si>
  <si>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</si>
  <si>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</si>
  <si>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</si>
  <si>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</si>
  <si>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</si>
  <si>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</si>
  <si>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 xml:space="preserve">     1.1.1.</t>
  </si>
  <si>
    <t xml:space="preserve">     1.1.2.</t>
  </si>
  <si>
    <t xml:space="preserve"> 1.2.</t>
  </si>
  <si>
    <t xml:space="preserve">   1.2.1.</t>
  </si>
  <si>
    <t xml:space="preserve">   1.2.2.</t>
  </si>
  <si>
    <t>Hiány külső finanszírozása (hitel)</t>
  </si>
  <si>
    <t>Működési bevételek összesen</t>
  </si>
  <si>
    <t>Működési kiadások összesen</t>
  </si>
  <si>
    <t>1. Felhalmozási támogatások államháztartáson belülről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</si>
  <si>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</si>
  <si>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</si>
  <si>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</si>
  <si>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</si>
  <si>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</si>
  <si>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</si>
  <si>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</si>
  <si>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</si>
  <si>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</si>
  <si>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</si>
  <si>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</si>
  <si>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</si>
  <si>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</si>
  <si>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</si>
  <si>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</si>
  <si>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</si>
  <si>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</si>
  <si>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</si>
  <si>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</si>
  <si>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</si>
  <si>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</si>
  <si>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</si>
  <si>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</si>
  <si>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</si>
  <si>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</si>
  <si>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</si>
  <si>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</si>
  <si>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</si>
  <si>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</si>
  <si>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</si>
  <si>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</si>
  <si>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</si>
  <si>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</si>
  <si>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Előirányzat Kötelező</t>
  </si>
  <si>
    <t>Ö</t>
  </si>
  <si>
    <t>K</t>
  </si>
  <si>
    <t>2.3.4</t>
  </si>
  <si>
    <t>Befektetési célú részesedések</t>
  </si>
  <si>
    <t>V. Finanszírozási kiadások</t>
  </si>
  <si>
    <t>* A közös hivatal önként vállalt feladatot nem lát el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</si>
  <si>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</si>
  <si>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</si>
  <si>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</si>
  <si>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</si>
  <si>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</si>
  <si>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Beledi Közös Önkormányzati Hivatal*</t>
  </si>
  <si>
    <t>Államháztartáson belülre</t>
  </si>
  <si>
    <t>4. számú melléklet 1.5.3 és 2.3.2 sorainak részletezése</t>
  </si>
  <si>
    <t>mód. I.</t>
  </si>
  <si>
    <t>Mód. I.</t>
  </si>
  <si>
    <t>eredeti</t>
  </si>
  <si>
    <t>Eredeti ei.</t>
  </si>
  <si>
    <t>Mód. II.</t>
  </si>
  <si>
    <t>mód. II.</t>
  </si>
  <si>
    <t>Mód. III.</t>
  </si>
  <si>
    <t>mód. III.</t>
  </si>
  <si>
    <t>III. Tartalék</t>
  </si>
  <si>
    <t>Teljesítés</t>
  </si>
  <si>
    <t>Telj. %</t>
  </si>
  <si>
    <t>Költségvetési és finanszírozási kiadások</t>
  </si>
  <si>
    <t>Függő, átfutó, kiegyenlítő kiadások</t>
  </si>
  <si>
    <t>Függő, átfutó, kiegyenlítő bevételek</t>
  </si>
  <si>
    <t>Rábaköz Vidékfejlesztési Egyesület tagdíj</t>
  </si>
  <si>
    <t>Telj.</t>
  </si>
  <si>
    <t xml:space="preserve"> </t>
  </si>
  <si>
    <t>Függő, átfutó, kiegyenlítő bevételelk</t>
  </si>
  <si>
    <t>Mód. IV.</t>
  </si>
  <si>
    <t>Eredeti, Mód. I, II., III., I.</t>
  </si>
  <si>
    <t>0</t>
  </si>
  <si>
    <t>Sor-szám</t>
  </si>
  <si>
    <t>Mód V.</t>
  </si>
  <si>
    <t>Mód. V.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</si>
  <si>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</si>
  <si>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</si>
  <si>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</si>
  <si>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</si>
  <si>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</si>
  <si>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</si>
  <si>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</si>
  <si>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</si>
  <si>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</si>
  <si>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>II.2 Óvodaműködtetési támogatás</t>
  </si>
  <si>
    <t>III.1. Egyes jövedelempótló támogatások (Évközben igényelt)</t>
  </si>
  <si>
    <t>III.2. Hozzájárulás a pénzbeli szociális ellátásokhoz</t>
  </si>
  <si>
    <t xml:space="preserve">       ebből: Társulási kiegészítés</t>
  </si>
  <si>
    <t>III.3 Egyes szociális és gyermekjóléti feladatok támogatás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</si>
  <si>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</si>
  <si>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</si>
  <si>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</si>
  <si>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</si>
  <si>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</si>
  <si>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</si>
  <si>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</si>
  <si>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</si>
  <si>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</si>
  <si>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</si>
  <si>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</si>
  <si>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</si>
  <si>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</si>
  <si>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</si>
  <si>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</si>
  <si>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</si>
  <si>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</si>
  <si>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</si>
  <si>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</si>
  <si>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</si>
  <si>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</si>
  <si>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</si>
  <si>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</si>
  <si>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</si>
  <si>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</si>
  <si>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</si>
  <si>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</si>
  <si>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</si>
  <si>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</si>
  <si>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</si>
  <si>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</si>
  <si>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</si>
  <si>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</si>
  <si>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</si>
  <si>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</si>
  <si>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</si>
  <si>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</si>
  <si>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</si>
  <si>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</si>
  <si>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</si>
  <si>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</si>
  <si>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</si>
  <si>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</si>
  <si>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</si>
  <si>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</si>
  <si>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</si>
  <si>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</si>
  <si>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</si>
  <si>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</si>
  <si>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</si>
  <si>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</si>
  <si>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</si>
  <si>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</si>
  <si>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</si>
  <si>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</si>
  <si>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</si>
  <si>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</si>
  <si>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</si>
  <si>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</si>
  <si>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</si>
  <si>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</si>
  <si>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</si>
  <si>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</si>
  <si>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</si>
  <si>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</si>
  <si>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</si>
  <si>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</si>
  <si>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</si>
  <si>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</si>
  <si>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I. Intézményi működési bevételek</t>
  </si>
  <si>
    <t xml:space="preserve">I. Intézményi működési bevételek </t>
  </si>
  <si>
    <t>Beledi Közös Önkormányzati Hiatal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</si>
  <si>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</si>
  <si>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</si>
  <si>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</si>
  <si>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</si>
  <si>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</si>
  <si>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</si>
  <si>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</si>
  <si>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4.3</t>
  </si>
  <si>
    <t>ebből: kisértékű eszköz beszerzése</t>
  </si>
  <si>
    <t>Telj.%</t>
  </si>
  <si>
    <t>3.5</t>
  </si>
  <si>
    <t>3.5.1</t>
  </si>
  <si>
    <t>3.5.2</t>
  </si>
  <si>
    <t>3.5.3</t>
  </si>
  <si>
    <t>Helyi önkormányzatok kiegészítő támogatása</t>
  </si>
  <si>
    <t>ebből: Vicai Kat.Egyház</t>
  </si>
  <si>
    <t>Tűzoltóegyesület</t>
  </si>
  <si>
    <t>Vicai Ifjúsági Egyesület</t>
  </si>
  <si>
    <t>Delta Testépítő Klub</t>
  </si>
  <si>
    <t>Tégy a Tehetségért Alapítvány</t>
  </si>
  <si>
    <t>Beledi Ifjúsági Egyesület</t>
  </si>
  <si>
    <t>Beledi Evangélikus Egyház</t>
  </si>
  <si>
    <t>Beled Jövőjéért Egyesület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</si>
  <si>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</si>
  <si>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</si>
  <si>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</si>
  <si>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</si>
  <si>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</si>
  <si>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Közutak üzemeltetése, fenntartása</t>
  </si>
  <si>
    <t>Egyéb szárazföldi személyszállítás</t>
  </si>
  <si>
    <t>Közvilágítási feladatok</t>
  </si>
  <si>
    <t>Város- és községgazdálkodás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</si>
  <si>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</si>
  <si>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</si>
  <si>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</si>
  <si>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</si>
  <si>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</si>
  <si>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</si>
  <si>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</si>
  <si>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</si>
  <si>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</si>
  <si>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</si>
  <si>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</si>
  <si>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</si>
  <si>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</si>
  <si>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</si>
  <si>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</si>
  <si>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</si>
  <si>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</si>
  <si>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</si>
  <si>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</si>
  <si>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</si>
  <si>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Értékesítési és forgalmi adók</t>
  </si>
  <si>
    <t>Egyéb áruhasználati és szolgáltatási adók</t>
  </si>
  <si>
    <t>Tulajdonosi bevételek</t>
  </si>
  <si>
    <t>SAJÁT BEVÉTELEK ÖSSZESEN</t>
  </si>
  <si>
    <t>Zöldterület kezelése</t>
  </si>
  <si>
    <t>teljesítés</t>
  </si>
  <si>
    <t>10.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</si>
  <si>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</si>
  <si>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</si>
  <si>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</si>
  <si>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</si>
  <si>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</si>
  <si>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</si>
  <si>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</si>
  <si>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</si>
  <si>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</si>
  <si>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</si>
  <si>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</si>
  <si>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</si>
  <si>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</si>
  <si>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Működési bevételek</t>
  </si>
  <si>
    <t>Felhalmozási célú támogatások állalmháztartáson belülről</t>
  </si>
  <si>
    <t>Átett pénzeszközök államháztartáson kívülről</t>
  </si>
  <si>
    <t>Felhalmozási bevételek</t>
  </si>
  <si>
    <t>Finanszírozási bevételek</t>
  </si>
  <si>
    <t>Bevételek összesen:</t>
  </si>
  <si>
    <t>11.</t>
  </si>
  <si>
    <t>12.</t>
  </si>
  <si>
    <t>Működési kiadások</t>
  </si>
  <si>
    <t>13.</t>
  </si>
  <si>
    <t>Felhalmozási költségvetési kiadások</t>
  </si>
  <si>
    <t>14.</t>
  </si>
  <si>
    <t>Tartalékok felhasználása</t>
  </si>
  <si>
    <t>15.</t>
  </si>
  <si>
    <t>Finanszírozási célú kiadások</t>
  </si>
  <si>
    <t>Kiadások összesen:</t>
  </si>
  <si>
    <t>Egyenleg</t>
  </si>
  <si>
    <t>ÁH belüli megelőlegezések visszafizetései</t>
  </si>
  <si>
    <t>6.3</t>
  </si>
  <si>
    <t>Beled Ált.Isk.Diákönk.</t>
  </si>
  <si>
    <t>egyéb</t>
  </si>
  <si>
    <t>Lövészklub (MTTSZ)</t>
  </si>
  <si>
    <t>telj. %</t>
  </si>
  <si>
    <t>mód. IV.</t>
  </si>
  <si>
    <t>Gyermekvédelmi Erzsébet utalvány</t>
  </si>
  <si>
    <t>Szociális ágazati pótlék kiegészítő támogatás</t>
  </si>
  <si>
    <t>mód. V,</t>
  </si>
  <si>
    <t>mód. V.</t>
  </si>
  <si>
    <t>Nagycenk Nagyközség Önkormányzata</t>
  </si>
  <si>
    <t>Egészséges Óvodás Gyermekekért Alapítvány</t>
  </si>
  <si>
    <t>Államháztartáson belüli megelőlegezések</t>
  </si>
  <si>
    <t xml:space="preserve">Forintban </t>
  </si>
  <si>
    <t>Irányítószervi (önkormányzati) támogatás</t>
  </si>
  <si>
    <t>Ft-ban</t>
  </si>
  <si>
    <t>Szociális tűzifa (2015. évről áthúzódó)</t>
  </si>
  <si>
    <t>Forintban</t>
  </si>
  <si>
    <t xml:space="preserve">III. 5. c. A rászoruló gyermekek intézményen kívüli szünidei étkeztetésének támogatása </t>
  </si>
  <si>
    <t>Hiány belső finanszírozása (pénzmaradvány)</t>
  </si>
  <si>
    <t xml:space="preserve">Finanszírozási bevételek </t>
  </si>
  <si>
    <t xml:space="preserve">Finanszírozási kiadások </t>
  </si>
  <si>
    <t>6.4</t>
  </si>
  <si>
    <t>7</t>
  </si>
  <si>
    <t>Forgatási  célú belföldi értékpapírok vásárlása</t>
  </si>
  <si>
    <t>Forgatási célú értékpapírok vásárlása</t>
  </si>
  <si>
    <t>Felhalmozási célú egyéb átvett pénzeszközök államháztartáson kívűlről</t>
  </si>
  <si>
    <t>2. Felhalmozási célú egyéb átvett pénzeszközök államháztartáson kívűlről</t>
  </si>
  <si>
    <t>Szolgáltatások ellenértéke</t>
  </si>
  <si>
    <t>Egyéb működési bevételek</t>
  </si>
  <si>
    <t>Tualjdonosi bevételek</t>
  </si>
  <si>
    <t>Ellátási díjak</t>
  </si>
  <si>
    <t>Kiszámlázott általános forgalmi adó</t>
  </si>
  <si>
    <t>1.6</t>
  </si>
  <si>
    <t>1.7</t>
  </si>
  <si>
    <t>2.3.</t>
  </si>
  <si>
    <t>2.4.1</t>
  </si>
  <si>
    <t>2.4.2</t>
  </si>
  <si>
    <t>2.4.3</t>
  </si>
  <si>
    <t>2.7</t>
  </si>
  <si>
    <t>Felhalmozási célú visszatérítendő támogatás visszafizetése</t>
  </si>
  <si>
    <t>Visszatérítendő támogatás átadása államháztartáson belülre</t>
  </si>
  <si>
    <t>adatok Ft-ban</t>
  </si>
  <si>
    <t>Működési célú költségvetési támogatások és kiegészítő támogatások</t>
  </si>
  <si>
    <t>Működési célú támogatások államháztartáson belülről</t>
  </si>
  <si>
    <t xml:space="preserve">Véglegesen és átmeneti jelleggel átadott pénzeszközök </t>
  </si>
  <si>
    <t>Véglegesen átadott pénzeszközök</t>
  </si>
  <si>
    <t>Közvetített szolgáltatok ellenértéke</t>
  </si>
  <si>
    <t>Vadászati jog bérbeadéséból származó jövedelem</t>
  </si>
  <si>
    <t>Orvosi ügyelet - Kapuvár Városi Önkormányzat</t>
  </si>
  <si>
    <t>Orvosi ügyelet - Többcélú Társulás Kapuvár</t>
  </si>
  <si>
    <t>Beledi Katolikus Egyház</t>
  </si>
  <si>
    <t>Régi Beledi Baráti Kör</t>
  </si>
  <si>
    <t>Civil szervezetek támogatása (képviselői felajánlásból)</t>
  </si>
  <si>
    <t>Egyházak támogatása (képviselői felajánlásból)</t>
  </si>
  <si>
    <t>Iparűzési adó - állandó jellegggel végzett</t>
  </si>
  <si>
    <t>Települési hulladékgazdálkodási feladatok</t>
  </si>
  <si>
    <t>Szociális és gyermekjóléti ellátások</t>
  </si>
  <si>
    <t>Települési támogatás - gyógszertámogatás (Szt. 45. § (1) bek.)</t>
  </si>
  <si>
    <t>Települési támogatás - temetési támogatás (Szt. 45. § (1) bek.)</t>
  </si>
  <si>
    <t>Rendkívüli települési támogatás (Szt. 45. § (4)-(5) bek.)</t>
  </si>
  <si>
    <t>Köztemetés (Szt. 48. §)</t>
  </si>
  <si>
    <t>Bursa Hungarica Felsőoktaqtási Önkormányzati Ösztöndíj</t>
  </si>
  <si>
    <t>Szünidei gyermekétkeztetés (Gyvt. 21/C. §)</t>
  </si>
  <si>
    <t>Beled Sportegyesület "rezsitámogatás"</t>
  </si>
  <si>
    <t>Tárgyi eszközök értékesítése</t>
  </si>
  <si>
    <t>III. m. Pszichiátriai betegek részére nyújtott közösségi alapellátás - alaptámogatás</t>
  </si>
  <si>
    <t>III. m.Pszichiátriai betegek részére nyújtott közösségi alapellátás - teljesíménytámogatás</t>
  </si>
  <si>
    <t>Forgatási célú értékpapírból származó bevétel</t>
  </si>
  <si>
    <t xml:space="preserve">BERUHÁZÁSOK (ÁFA-val) </t>
  </si>
  <si>
    <t>Beledi Katolikus Egyházközség</t>
  </si>
  <si>
    <t>Beledi Evangélikus Egyházközség</t>
  </si>
  <si>
    <t>Beled Sportegyesület műfüves pálya műszaki ellenőrzése</t>
  </si>
  <si>
    <t>Kisfaludi Vadaspark Egyesület és Baráti Kör</t>
  </si>
  <si>
    <t>Foki Nikolett Gyógyulásáért Alapítvány</t>
  </si>
  <si>
    <t>Önkormányzati vagyongazdálkodással kapcsolatos feladatok</t>
  </si>
  <si>
    <t>Informatikai fejlesztések, szolgáltatások</t>
  </si>
  <si>
    <t>Biztosítás kárfizetés</t>
  </si>
  <si>
    <t>2.8</t>
  </si>
  <si>
    <t>Természetbeni támogatás Gyvt. 20/a §. (Erzsébet utalvány)</t>
  </si>
  <si>
    <t>Magyar Technikai és Tömegsport Szövetség Beledi Klubja</t>
  </si>
  <si>
    <t>Emberi Erőforrás Támogatáskezelő</t>
  </si>
  <si>
    <t>"Elre" Horgász Egyesület</t>
  </si>
  <si>
    <t>Fidesz-Magyar Polgári Szövetség</t>
  </si>
  <si>
    <t>Beledi Asztalitenisz és Tenisz Klub</t>
  </si>
  <si>
    <t xml:space="preserve">Beledi Sportegyesület </t>
  </si>
  <si>
    <t>Beledi Általános Iskola Diákönkormányzata</t>
  </si>
  <si>
    <t>Tetelepülési Önkormányzatok Országos Szövetsége tagíj</t>
  </si>
  <si>
    <t>Közúti személyszállítás (kerékpárút)</t>
  </si>
  <si>
    <t>Lakásfenntartással, lakhatással összefüggő ellátások (szociális tűzifa)</t>
  </si>
  <si>
    <t>Államháztartáson belüli megelőlegezés</t>
  </si>
  <si>
    <t>Szociális tűzifa (2017)</t>
  </si>
  <si>
    <t>"Elre" Horgász Egyesület 2017. évről áthúzódó</t>
  </si>
  <si>
    <t>Beledi Szociális és Gyermekjóléti Társulás 2017. évi hozzájárulás elszámolás</t>
  </si>
  <si>
    <t xml:space="preserve">2. számú melléklet </t>
  </si>
  <si>
    <t xml:space="preserve">3. számú melléklet </t>
  </si>
  <si>
    <t xml:space="preserve">4. számú melléklet </t>
  </si>
  <si>
    <t>EFOP-1.5.2 művelődési ház felújítása</t>
  </si>
  <si>
    <t>H</t>
  </si>
  <si>
    <t>TOP pályázat - Piac kialakítása</t>
  </si>
  <si>
    <t>TOP pályázat - Kerékpárút kialakítása</t>
  </si>
  <si>
    <t>Intézményen kívüli gyermekétkeztetés (szünidei)</t>
  </si>
  <si>
    <t>EFOP-1.5.2 pályázat - Humán szolgáltatások fejlesztése</t>
  </si>
  <si>
    <t>Beled Sportegyesület</t>
  </si>
  <si>
    <t>Fogorvosi ügyelet Soproni Szociális Intézmény</t>
  </si>
  <si>
    <t>Mozgáskorlátozottak Győr-Moson-Sopron Megyei Egyesülete</t>
  </si>
  <si>
    <t>Többéves kihatással járó döntések számszerűsítése évenkénti bontásban és összesítve célok szerint</t>
  </si>
  <si>
    <t>Sor-
szám</t>
  </si>
  <si>
    <t>Kötelezettség jogcíme</t>
  </si>
  <si>
    <t>Köt. váll.
 éve</t>
  </si>
  <si>
    <t>Kiadás vonzata évenként</t>
  </si>
  <si>
    <t>A</t>
  </si>
  <si>
    <t>C</t>
  </si>
  <si>
    <t>D</t>
  </si>
  <si>
    <t>E</t>
  </si>
  <si>
    <t>G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</si>
  <si>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</si>
  <si>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</si>
  <si>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</si>
  <si>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</si>
  <si>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</si>
  <si>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2016</t>
  </si>
  <si>
    <t>2017. évi Pünkösdi Fesztivál előkészítése, lebonyolítása 152/2016. (XII. 21.) határozat szerint</t>
  </si>
  <si>
    <t>Felújítási kiadások felújításonként</t>
  </si>
  <si>
    <t>16.</t>
  </si>
  <si>
    <t>17.</t>
  </si>
  <si>
    <t>Egyéb (Pl.: garancia és kezességvállalás, stb.)</t>
  </si>
  <si>
    <t>2020.</t>
  </si>
  <si>
    <t xml:space="preserve">Összesen </t>
  </si>
  <si>
    <t>Hiteltörlesztés (2016. évi)</t>
  </si>
  <si>
    <t xml:space="preserve">12. számú melléklet </t>
  </si>
  <si>
    <t xml:space="preserve">10. számú melléklet </t>
  </si>
  <si>
    <t xml:space="preserve">1. számú melléklet </t>
  </si>
  <si>
    <t>Elszámolásból származó bevétel</t>
  </si>
  <si>
    <t>Önkormányzati bérkompenzáció</t>
  </si>
  <si>
    <t xml:space="preserve">5.2 számú melléklet </t>
  </si>
  <si>
    <t xml:space="preserve">5.1 számú melléklet </t>
  </si>
  <si>
    <t>nettó</t>
  </si>
  <si>
    <t>áfa</t>
  </si>
  <si>
    <t>Út, autópálya építése</t>
  </si>
  <si>
    <t>Egyéb szociális ellátások (szociális tűzifa)</t>
  </si>
  <si>
    <t>Beledi Általános Iskola Diákjaiért Közalapítvány 2017. évi áthúzódó</t>
  </si>
  <si>
    <t>Magyar Védőnők Egyesülete</t>
  </si>
  <si>
    <t xml:space="preserve">Beledi Általános Iskola Diákjaiért Közalapítvány </t>
  </si>
  <si>
    <t>Móvár Nagytérségi Hulladékgazdálkodási Társulás</t>
  </si>
  <si>
    <t>Beled Város Önkéntes Tűzoltó Egyesülete</t>
  </si>
  <si>
    <t>"Előre" Horgászegyesület</t>
  </si>
  <si>
    <t>01. Helyi önkormányzatok működésének általános támogatása</t>
  </si>
  <si>
    <t>III.6.a. Bölcsőde bértámogatás</t>
  </si>
  <si>
    <t>III.6.b. Bölcsőde üzemeltetési támogatás</t>
  </si>
  <si>
    <t>2021.</t>
  </si>
  <si>
    <t>Önkormányzat összevont 2020. évi bevételi előirányzatai</t>
  </si>
  <si>
    <t>2020. évi belső forrásból fedezhető működési hiány</t>
  </si>
  <si>
    <t xml:space="preserve">2020. évi belső  forrásból fedezhető felhalmozási hiány </t>
  </si>
  <si>
    <t>2020. évi belső forrásból fedezhető összes hiány (1.+2.)</t>
  </si>
  <si>
    <t xml:space="preserve">2020. évi külső forrásból fedezhető működési hiány </t>
  </si>
  <si>
    <t xml:space="preserve">2020. évi külső forrásból fedezhető felhalmozási hiány </t>
  </si>
  <si>
    <t>2020. évi külső forrásból fedezhető összes hiány (1.+2.)</t>
  </si>
  <si>
    <t>Önkormányzat 2020. évi bevételi előirányzatai</t>
  </si>
  <si>
    <t>Önkormányzat 2020. évi kiadási előirányzatai</t>
  </si>
  <si>
    <t xml:space="preserve">2020. év </t>
  </si>
  <si>
    <t>2020. év</t>
  </si>
  <si>
    <t>Beledi Szociális és Gyermekjóléti Társulás 2020. évi hozzájárulás</t>
  </si>
  <si>
    <t>2020. évi előirányzat</t>
  </si>
  <si>
    <t>Előirányzat-felhasználási terv
2020. évre</t>
  </si>
  <si>
    <t>A 2020. évi általános működési és ágazati feladatok támogatásának alakulása jogcímenként</t>
  </si>
  <si>
    <t>2020. előtti kifizetés</t>
  </si>
  <si>
    <t>Fűnyírótaraktor beszerzése</t>
  </si>
  <si>
    <t>Jármű beszerzése</t>
  </si>
  <si>
    <t>Székelykapu beszerzése</t>
  </si>
  <si>
    <t>Egészségház eszközök</t>
  </si>
  <si>
    <t>EFOP 152 célcsoport programjaihoz kapcsolódó eszközök</t>
  </si>
  <si>
    <t>Magyar Falu Program -  vicai faluház újraépítése</t>
  </si>
  <si>
    <t>MFP - Egészségház felújítása</t>
  </si>
  <si>
    <t>MFP óvodaudvar - kerítésfelújítás</t>
  </si>
  <si>
    <t>Gyöngyvirág üzletház felújítása</t>
  </si>
  <si>
    <t>19.</t>
  </si>
  <si>
    <t>EFOP-1.5.2-16-2017-00023 Beled és térsége humán szolgáltatásainak fejlesztése</t>
  </si>
  <si>
    <t>Közfoglalkoztatás</t>
  </si>
  <si>
    <t>KEHOP</t>
  </si>
  <si>
    <t>Településfejlesztési projektek</t>
  </si>
  <si>
    <t>Mosonmagyaróvár Nagytérségi Hulladékgazdálkodási Társulás</t>
  </si>
  <si>
    <t>Beledi Ezüstfenyő Nyugdíjas Egyesület</t>
  </si>
  <si>
    <t xml:space="preserve">II.1,4. Óvodapedagógusok  és a nevelőmunkát közvetlenül támogatók bértámogatása </t>
  </si>
  <si>
    <t>2 a.) Család- és gyermekjóléti szolgálat</t>
  </si>
  <si>
    <t>2 c.) Szociális étkeztetés</t>
  </si>
  <si>
    <t>2 da.) Házi segítégnyújtás - szociális segítés</t>
  </si>
  <si>
    <t>2 db.) Házi segítégnyújtás - személyi gondozás</t>
  </si>
  <si>
    <t>2 jb.) Családi bölcsőde</t>
  </si>
  <si>
    <t>2 f.) Időskorúak nappali intézményi ellátása</t>
  </si>
  <si>
    <t>2022.</t>
  </si>
  <si>
    <t>2022. után</t>
  </si>
  <si>
    <t>2019</t>
  </si>
  <si>
    <t xml:space="preserve">11. számú melléklet </t>
  </si>
  <si>
    <t>Kapuvári Óvodáskorú Gyermekekért Alapítvány</t>
  </si>
  <si>
    <t>Kapuvári Sportegyesüet Kyokushin Karate Szakosztály (beledi csoport)</t>
  </si>
  <si>
    <t xml:space="preserve">MFP útfelújítás </t>
  </si>
  <si>
    <t>Vörösmarty utca járda építése</t>
  </si>
  <si>
    <t>nyitott autóbeálló vicai tűzoltószertárhoz</t>
  </si>
  <si>
    <t>kandeláber és hozzá tartozó gömb izzó beszerzése (viharkár miatt)</t>
  </si>
  <si>
    <t>MFP Rákóczi utca útfelújítás</t>
  </si>
  <si>
    <t>MFP Művelődési ház felújítása</t>
  </si>
  <si>
    <t>Ifjúság utca járdatrvezés</t>
  </si>
  <si>
    <t>3.m.11. Szociális ágazati összevont pótlék</t>
  </si>
  <si>
    <t xml:space="preserve">Kulturális ágazati pótlék </t>
  </si>
  <si>
    <t xml:space="preserve">6/b. számú melléklet </t>
  </si>
  <si>
    <t xml:space="preserve">7. számú melléklet </t>
  </si>
  <si>
    <t xml:space="preserve">8. számú melléklet  </t>
  </si>
  <si>
    <t xml:space="preserve">9. számú melléklet </t>
  </si>
  <si>
    <t xml:space="preserve">(10. számú mellléklet a 4/2020. (III.13.) önkormányzati rendelethez) </t>
  </si>
  <si>
    <t xml:space="preserve">(9. számú mellléklet a 4/2020. (III.13.) önkormányzati rendelethez) </t>
  </si>
  <si>
    <t xml:space="preserve">(8. számú mellléklet a 4/2020. (III.13.) önkormányzati rendelethez) </t>
  </si>
  <si>
    <t xml:space="preserve">(7/b. számú mellléklet a 4/2020. (III.13.) önkormányzati rendelethez) </t>
  </si>
  <si>
    <t xml:space="preserve">(11. számú mellléklet a 4/2020. (III.13.) önkormányzati rendelethez) </t>
  </si>
  <si>
    <t xml:space="preserve">(12. számú mellléklet a 4/2020. (III.13.) önkormányzati rendelethez) </t>
  </si>
  <si>
    <t xml:space="preserve">(13. számú mellléklet a 4/2020. (III.13.) önkormányzati rendelethez) </t>
  </si>
  <si>
    <t xml:space="preserve">(1. számú mellléklet a 4/2020. (III.13.) önkormányzati rendelethez) </t>
  </si>
  <si>
    <t xml:space="preserve">(2. számú mellléklet a 4/2020. (III.13.) önkormányzati rendelethez) </t>
  </si>
  <si>
    <t xml:space="preserve">(3. számú mellléklet a 4/2020. (III.13.) önkormányzati rendelethez) </t>
  </si>
  <si>
    <t xml:space="preserve">(4. számú mellléklet a 4/2020. (III.13.) önkormányzati rendelethez) </t>
  </si>
  <si>
    <t xml:space="preserve">(5.1. számú mellléklet a 4/2020. (III.13.) önkormányzati rendelethez) </t>
  </si>
  <si>
    <t xml:space="preserve">(5.2. számú mellléklet a 4/2020. (III.13.) önkormányzati rendelethez) 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</si>
</sst>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#,##0.0"/>
    <numFmt numFmtId="168" formatCode="General\ &quot; fő&quot;"/>
    <numFmt numFmtId="169" formatCode="#,###"/>
    <numFmt numFmtId="170" formatCode="#,##0_ ;\-#,##0\ "/>
    <numFmt numFmtId="171" formatCode="#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00"/>
    <numFmt numFmtId="176" formatCode="0.0000"/>
    <numFmt numFmtId="177" formatCode="[$€-2]\ #\ ##,000_);[Red]\([$€-2]\ #\ ##,000\)"/>
    <numFmt numFmtId="178" formatCode="###\ ###\ ###\ ###\ ##0.00"/>
    <numFmt numFmtId="179" formatCode="_-* #,##0.000\ _F_t_-;\-* #,##0.000\ _F_t_-;_-* &quot;-&quot;??\ _F_t_-;_-@_-"/>
    <numFmt numFmtId="180" formatCode="_-* #,##0.0000\ _F_t_-;\-* #,##0.0000\ _F_t_-;_-* &quot;-&quot;??\ _F_t_-;_-@_-"/>
    <numFmt numFmtId="181" formatCode="_-* #,##0.0\ _F_t_-;\-* #,##0.0\ _F_t_-;_-* &quot;-&quot;??\ _F_t_-;_-@_-"/>
    <numFmt numFmtId="182" formatCode="_-* #,##0\ _F_t_-;\-* #,##0\ _F_t_-;_-* &quot;-&quot;??\ _F_t_-;_-@_-"/>
  </numFmts>
  <fonts count="129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i/>
      <sz val="12"/>
      <name val="MS Sans Serif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b/>
      <sz val="14"/>
      <name val="Arial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sz val="8"/>
      <name val="MS Sans Serif"/>
      <family val="2"/>
    </font>
    <font>
      <i/>
      <sz val="12"/>
      <name val="Times New Roman CE"/>
      <family val="0"/>
    </font>
    <font>
      <i/>
      <sz val="11"/>
      <color indexed="8"/>
      <name val="Calibri"/>
      <family val="2"/>
    </font>
    <font>
      <i/>
      <sz val="10"/>
      <name val="Arial CE"/>
      <family val="0"/>
    </font>
    <font>
      <i/>
      <sz val="10"/>
      <name val="Arial"/>
      <family val="2"/>
    </font>
    <font>
      <i/>
      <sz val="11"/>
      <name val="MS Sans Serif"/>
      <family val="2"/>
    </font>
    <font>
      <i/>
      <sz val="12"/>
      <name val="MS Sans Serif"/>
      <family val="2"/>
    </font>
    <font>
      <i/>
      <sz val="12"/>
      <name val="Arial CE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7"/>
      <name val="Times New Roman CE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b/>
      <sz val="12"/>
      <color indexed="10"/>
      <name val="Arial CE"/>
      <family val="2"/>
    </font>
    <font>
      <sz val="10"/>
      <color indexed="10"/>
      <name val="Times New Roman"/>
      <family val="1"/>
    </font>
    <font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MS Sans Serif"/>
      <family val="2"/>
    </font>
    <font>
      <sz val="10"/>
      <color rgb="FFFF0000"/>
      <name val="MS Sans Serif"/>
      <family val="2"/>
    </font>
    <font>
      <b/>
      <sz val="12"/>
      <color rgb="FFFF0000"/>
      <name val="Arial CE"/>
      <family val="2"/>
    </font>
    <font>
      <sz val="10"/>
      <color rgb="FFFF0000"/>
      <name val="Times New Roman"/>
      <family val="1"/>
    </font>
    <font>
      <sz val="10"/>
      <color rgb="FFFF0000"/>
      <name val="Arial CE"/>
      <family val="2"/>
    </font>
    <font>
      <sz val="12"/>
      <color rgb="FFFF0000"/>
      <name val="Arial CE"/>
      <family val="0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lightHorizontal"/>
    </fill>
    <fill>
      <patternFill patternType="solid">
        <fgColor theme="6" tint="-0.24997000396251678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/>
      <top style="thin"/>
      <bottom style="medium"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06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07" fillId="21" borderId="0" applyNumberFormat="0" applyBorder="0" applyAlignment="0" applyProtection="0"/>
    <xf numFmtId="0" fontId="107" fillId="22" borderId="0" applyNumberFormat="0" applyBorder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7" fillId="26" borderId="0" applyNumberFormat="0" applyBorder="0" applyAlignment="0" applyProtection="0"/>
    <xf numFmtId="0" fontId="84" fillId="12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0" borderId="0" applyNumberFormat="0" applyBorder="0" applyAlignment="0" applyProtection="0"/>
    <xf numFmtId="0" fontId="84" fillId="12" borderId="0" applyNumberFormat="0" applyBorder="0" applyAlignment="0" applyProtection="0"/>
    <xf numFmtId="0" fontId="84" fillId="9" borderId="0" applyNumberFormat="0" applyBorder="0" applyAlignment="0" applyProtection="0"/>
    <xf numFmtId="0" fontId="84" fillId="29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  <xf numFmtId="0" fontId="95" fillId="33" borderId="0" applyNumberFormat="0" applyBorder="0" applyAlignment="0" applyProtection="0"/>
    <xf numFmtId="0" fontId="108" fillId="34" borderId="1" applyNumberFormat="0" applyAlignment="0" applyProtection="0"/>
    <xf numFmtId="0" fontId="97" fillId="35" borderId="2" applyNumberFormat="0" applyAlignment="0" applyProtection="0"/>
    <xf numFmtId="0" fontId="90" fillId="36" borderId="3" applyNumberFormat="0" applyAlignment="0" applyProtection="0"/>
    <xf numFmtId="0" fontId="109" fillId="0" borderId="0" applyNumberFormat="0" applyFill="0" applyBorder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2" fillId="0" borderId="6" applyNumberFormat="0" applyFill="0" applyAlignment="0" applyProtection="0"/>
    <xf numFmtId="0" fontId="112" fillId="0" borderId="0" applyNumberFormat="0" applyFill="0" applyBorder="0" applyAlignment="0" applyProtection="0"/>
    <xf numFmtId="0" fontId="113" fillId="37" borderId="7" applyNumberFormat="0" applyAlignment="0" applyProtection="0"/>
    <xf numFmtId="0" fontId="9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92" fillId="12" borderId="0" applyNumberFormat="0" applyBorder="0" applyAlignment="0" applyProtection="0"/>
    <xf numFmtId="0" fontId="87" fillId="0" borderId="8" applyNumberFormat="0" applyFill="0" applyAlignment="0" applyProtection="0"/>
    <xf numFmtId="0" fontId="88" fillId="0" borderId="9" applyNumberFormat="0" applyFill="0" applyAlignment="0" applyProtection="0"/>
    <xf numFmtId="0" fontId="89" fillId="0" borderId="10" applyNumberFormat="0" applyFill="0" applyAlignment="0" applyProtection="0"/>
    <xf numFmtId="0" fontId="8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5" fillId="0" borderId="11" applyNumberFormat="0" applyFill="0" applyAlignment="0" applyProtection="0"/>
    <xf numFmtId="0" fontId="85" fillId="19" borderId="2" applyNumberFormat="0" applyAlignment="0" applyProtection="0"/>
    <xf numFmtId="0" fontId="0" fillId="38" borderId="12" applyNumberFormat="0" applyFont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4" borderId="0" applyNumberFormat="0" applyBorder="0" applyAlignment="0" applyProtection="0"/>
    <xf numFmtId="0" fontId="116" fillId="45" borderId="0" applyNumberFormat="0" applyBorder="0" applyAlignment="0" applyProtection="0"/>
    <xf numFmtId="0" fontId="117" fillId="46" borderId="13" applyNumberFormat="0" applyAlignment="0" applyProtection="0"/>
    <xf numFmtId="0" fontId="60" fillId="0" borderId="0" applyNumberFormat="0" applyFill="0" applyBorder="0" applyAlignment="0" applyProtection="0"/>
    <xf numFmtId="0" fontId="91" fillId="0" borderId="14" applyNumberFormat="0" applyFill="0" applyAlignment="0" applyProtection="0"/>
    <xf numFmtId="0" fontId="11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6" fillId="1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10" borderId="15" applyNumberFormat="0" applyAlignment="0" applyProtection="0"/>
    <xf numFmtId="0" fontId="93" fillId="35" borderId="16" applyNumberFormat="0" applyAlignment="0" applyProtection="0"/>
    <xf numFmtId="0" fontId="11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0" fillId="47" borderId="0" applyNumberFormat="0" applyBorder="0" applyAlignment="0" applyProtection="0"/>
    <xf numFmtId="0" fontId="121" fillId="48" borderId="0" applyNumberFormat="0" applyBorder="0" applyAlignment="0" applyProtection="0"/>
    <xf numFmtId="0" fontId="122" fillId="46" borderId="1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58" fillId="0" borderId="18" applyNumberFormat="0" applyFill="0" applyAlignment="0" applyProtection="0"/>
    <xf numFmtId="0" fontId="91" fillId="0" borderId="0" applyNumberFormat="0" applyFill="0" applyBorder="0" applyAlignment="0" applyProtection="0"/>
  </cellStyleXfs>
  <cellXfs count="142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102">
      <alignment/>
      <protection/>
    </xf>
    <xf numFmtId="0" fontId="17" fillId="0" borderId="0" xfId="102" applyFont="1" applyAlignment="1">
      <alignment horizontal="center"/>
      <protection/>
    </xf>
    <xf numFmtId="0" fontId="11" fillId="0" borderId="0" xfId="102" applyAlignment="1">
      <alignment vertical="center"/>
      <protection/>
    </xf>
    <xf numFmtId="0" fontId="13" fillId="0" borderId="0" xfId="102" applyFont="1">
      <alignment/>
      <protection/>
    </xf>
    <xf numFmtId="0" fontId="11" fillId="0" borderId="0" xfId="102" applyFont="1">
      <alignment/>
      <protection/>
    </xf>
    <xf numFmtId="0" fontId="11" fillId="0" borderId="0" xfId="102" applyFont="1" applyFill="1">
      <alignment/>
      <protection/>
    </xf>
    <xf numFmtId="0" fontId="0" fillId="0" borderId="0" xfId="0" applyFont="1" applyAlignment="1">
      <alignment wrapText="1"/>
    </xf>
    <xf numFmtId="0" fontId="0" fillId="0" borderId="19" xfId="10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102" applyNumberForma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5" fillId="0" borderId="20" xfId="102" applyFont="1" applyBorder="1" applyAlignment="1">
      <alignment wrapText="1"/>
      <protection/>
    </xf>
    <xf numFmtId="0" fontId="15" fillId="0" borderId="20" xfId="102" applyFont="1" applyFill="1" applyBorder="1" applyAlignment="1">
      <alignment wrapText="1"/>
      <protection/>
    </xf>
    <xf numFmtId="0" fontId="12" fillId="0" borderId="21" xfId="102" applyFont="1" applyBorder="1" applyAlignment="1">
      <alignment wrapText="1"/>
      <protection/>
    </xf>
    <xf numFmtId="3" fontId="34" fillId="0" borderId="22" xfId="102" applyNumberFormat="1" applyFont="1" applyFill="1" applyBorder="1" applyAlignment="1">
      <alignment horizontal="right"/>
      <protection/>
    </xf>
    <xf numFmtId="0" fontId="34" fillId="0" borderId="22" xfId="102" applyFont="1" applyBorder="1" applyAlignment="1">
      <alignment horizontal="right"/>
      <protection/>
    </xf>
    <xf numFmtId="3" fontId="34" fillId="0" borderId="23" xfId="102" applyNumberFormat="1" applyFont="1" applyBorder="1" applyAlignment="1">
      <alignment horizontal="right"/>
      <protection/>
    </xf>
    <xf numFmtId="3" fontId="34" fillId="0" borderId="22" xfId="102" applyNumberFormat="1" applyFont="1" applyBorder="1" applyAlignment="1">
      <alignment horizontal="right"/>
      <protection/>
    </xf>
    <xf numFmtId="3" fontId="18" fillId="0" borderId="24" xfId="68" applyNumberFormat="1" applyFont="1" applyBorder="1" applyAlignment="1">
      <alignment horizontal="right" vertical="center"/>
    </xf>
    <xf numFmtId="3" fontId="18" fillId="0" borderId="24" xfId="102" applyNumberFormat="1" applyFont="1" applyBorder="1" applyAlignment="1">
      <alignment horizontal="right"/>
      <protection/>
    </xf>
    <xf numFmtId="0" fontId="11" fillId="0" borderId="25" xfId="102" applyFont="1" applyBorder="1" applyAlignment="1">
      <alignment horizontal="center" vertical="center"/>
      <protection/>
    </xf>
    <xf numFmtId="0" fontId="11" fillId="0" borderId="20" xfId="102" applyFont="1" applyBorder="1" applyAlignment="1">
      <alignment horizontal="center" vertical="center"/>
      <protection/>
    </xf>
    <xf numFmtId="3" fontId="12" fillId="0" borderId="0" xfId="102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2" xfId="102" applyFont="1" applyFill="1" applyBorder="1" applyAlignment="1">
      <alignment horizontal="left" vertical="center" wrapText="1"/>
      <protection/>
    </xf>
    <xf numFmtId="0" fontId="0" fillId="0" borderId="20" xfId="102" applyFont="1" applyFill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102" applyFont="1" applyBorder="1" applyAlignment="1">
      <alignment horizontal="right" vertical="center"/>
      <protection/>
    </xf>
    <xf numFmtId="0" fontId="22" fillId="0" borderId="0" xfId="102" applyFont="1" applyAlignment="1">
      <alignment horizontal="center" vertical="center"/>
      <protection/>
    </xf>
    <xf numFmtId="3" fontId="15" fillId="0" borderId="22" xfId="102" applyNumberFormat="1" applyFont="1" applyFill="1" applyBorder="1" applyAlignment="1">
      <alignment horizontal="right" vertical="center"/>
      <protection/>
    </xf>
    <xf numFmtId="3" fontId="3" fillId="0" borderId="2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4" fillId="0" borderId="23" xfId="102" applyNumberFormat="1" applyFont="1" applyFill="1" applyBorder="1" applyAlignment="1">
      <alignment horizontal="right"/>
      <protection/>
    </xf>
    <xf numFmtId="3" fontId="34" fillId="0" borderId="27" xfId="102" applyNumberFormat="1" applyFont="1" applyBorder="1" applyAlignment="1">
      <alignment horizontal="right"/>
      <protection/>
    </xf>
    <xf numFmtId="0" fontId="15" fillId="0" borderId="28" xfId="102" applyFont="1" applyBorder="1" applyAlignment="1">
      <alignment wrapText="1"/>
      <protection/>
    </xf>
    <xf numFmtId="0" fontId="30" fillId="0" borderId="22" xfId="102" applyFont="1" applyFill="1" applyBorder="1" applyAlignment="1">
      <alignment vertical="center"/>
      <protection/>
    </xf>
    <xf numFmtId="0" fontId="14" fillId="0" borderId="29" xfId="0" applyFont="1" applyFill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31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41" fillId="0" borderId="0" xfId="0" applyFont="1" applyAlignment="1">
      <alignment wrapText="1"/>
    </xf>
    <xf numFmtId="49" fontId="7" fillId="0" borderId="31" xfId="0" applyNumberFormat="1" applyFont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left"/>
    </xf>
    <xf numFmtId="49" fontId="0" fillId="0" borderId="33" xfId="0" applyNumberFormat="1" applyFont="1" applyBorder="1" applyAlignment="1">
      <alignment horizontal="left"/>
    </xf>
    <xf numFmtId="49" fontId="7" fillId="0" borderId="34" xfId="0" applyNumberFormat="1" applyFont="1" applyFill="1" applyBorder="1" applyAlignment="1">
      <alignment horizontal="left" vertical="center" wrapText="1"/>
    </xf>
    <xf numFmtId="49" fontId="3" fillId="0" borderId="30" xfId="0" applyNumberFormat="1" applyFont="1" applyFill="1" applyBorder="1" applyAlignment="1">
      <alignment horizontal="left" vertical="center" wrapText="1"/>
    </xf>
    <xf numFmtId="49" fontId="0" fillId="0" borderId="35" xfId="0" applyNumberFormat="1" applyFont="1" applyBorder="1" applyAlignment="1">
      <alignment horizontal="left"/>
    </xf>
    <xf numFmtId="49" fontId="7" fillId="0" borderId="36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0" fontId="6" fillId="0" borderId="33" xfId="0" applyFont="1" applyBorder="1" applyAlignment="1">
      <alignment/>
    </xf>
    <xf numFmtId="3" fontId="3" fillId="0" borderId="26" xfId="0" applyNumberFormat="1" applyFont="1" applyFill="1" applyBorder="1" applyAlignment="1">
      <alignment horizontal="right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35" xfId="0" applyNumberFormat="1" applyFont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3" fontId="7" fillId="0" borderId="27" xfId="0" applyNumberFormat="1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3" fontId="24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69" fontId="28" fillId="0" borderId="0" xfId="0" applyNumberFormat="1" applyFont="1" applyFill="1" applyAlignment="1" applyProtection="1">
      <alignment horizontal="left" vertical="center" wrapText="1"/>
      <protection/>
    </xf>
    <xf numFmtId="169" fontId="28" fillId="0" borderId="0" xfId="0" applyNumberFormat="1" applyFont="1" applyFill="1" applyAlignment="1" applyProtection="1">
      <alignment vertical="center" wrapText="1"/>
      <protection/>
    </xf>
    <xf numFmtId="169" fontId="42" fillId="0" borderId="0" xfId="0" applyNumberFormat="1" applyFont="1" applyFill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right" vertical="top"/>
      <protection locked="0"/>
    </xf>
    <xf numFmtId="169" fontId="28" fillId="0" borderId="0" xfId="0" applyNumberFormat="1" applyFont="1" applyFill="1" applyAlignment="1">
      <alignment vertical="center" wrapText="1"/>
    </xf>
    <xf numFmtId="0" fontId="44" fillId="0" borderId="0" xfId="0" applyFont="1" applyAlignment="1" applyProtection="1">
      <alignment horizontal="right" vertical="top"/>
      <protection locked="0"/>
    </xf>
    <xf numFmtId="169" fontId="45" fillId="0" borderId="0" xfId="0" applyNumberFormat="1" applyFont="1" applyFill="1" applyAlignment="1" applyProtection="1">
      <alignment vertical="center" wrapText="1"/>
      <protection locked="0"/>
    </xf>
    <xf numFmtId="0" fontId="39" fillId="0" borderId="0" xfId="0" applyFont="1" applyFill="1" applyAlignment="1">
      <alignment vertical="center"/>
    </xf>
    <xf numFmtId="0" fontId="42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 horizontal="right"/>
      <protection/>
    </xf>
    <xf numFmtId="0" fontId="26" fillId="0" borderId="0" xfId="0" applyFont="1" applyFill="1" applyAlignment="1">
      <alignment vertical="center"/>
    </xf>
    <xf numFmtId="0" fontId="42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46" fillId="0" borderId="39" xfId="0" applyFont="1" applyFill="1" applyBorder="1" applyAlignment="1" applyProtection="1">
      <alignment horizontal="center" vertical="center" wrapText="1"/>
      <protection/>
    </xf>
    <xf numFmtId="0" fontId="46" fillId="0" borderId="26" xfId="0" applyFont="1" applyFill="1" applyBorder="1" applyAlignment="1" applyProtection="1">
      <alignment horizontal="center" vertical="center" wrapText="1"/>
      <protection/>
    </xf>
    <xf numFmtId="0" fontId="46" fillId="0" borderId="4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>
      <alignment horizontal="center" vertical="center" wrapText="1"/>
    </xf>
    <xf numFmtId="0" fontId="42" fillId="0" borderId="35" xfId="0" applyFont="1" applyFill="1" applyBorder="1" applyAlignment="1" applyProtection="1">
      <alignment horizontal="center" vertical="center" wrapText="1"/>
      <protection/>
    </xf>
    <xf numFmtId="0" fontId="42" fillId="0" borderId="36" xfId="0" applyFont="1" applyFill="1" applyBorder="1" applyAlignment="1" applyProtection="1">
      <alignment horizontal="center" vertical="center" wrapText="1"/>
      <protection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46" fillId="0" borderId="26" xfId="0" applyFont="1" applyFill="1" applyBorder="1" applyAlignment="1" applyProtection="1">
      <alignment horizontal="left" vertical="center" wrapText="1" indent="1"/>
      <protection/>
    </xf>
    <xf numFmtId="169" fontId="46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36" fillId="0" borderId="0" xfId="0" applyFont="1" applyFill="1" applyAlignment="1">
      <alignment vertical="center" wrapText="1"/>
    </xf>
    <xf numFmtId="0" fontId="46" fillId="0" borderId="19" xfId="0" applyFont="1" applyFill="1" applyBorder="1" applyAlignment="1" applyProtection="1">
      <alignment horizontal="center" vertical="center" wrapText="1"/>
      <protection/>
    </xf>
    <xf numFmtId="49" fontId="38" fillId="0" borderId="22" xfId="0" applyNumberFormat="1" applyFont="1" applyFill="1" applyBorder="1" applyAlignment="1" applyProtection="1">
      <alignment horizontal="center" vertical="center" wrapText="1"/>
      <protection/>
    </xf>
    <xf numFmtId="0" fontId="46" fillId="0" borderId="20" xfId="0" applyFont="1" applyFill="1" applyBorder="1" applyAlignment="1" applyProtection="1">
      <alignment horizontal="center" vertical="center" wrapText="1"/>
      <protection/>
    </xf>
    <xf numFmtId="0" fontId="38" fillId="0" borderId="22" xfId="104" applyFont="1" applyFill="1" applyBorder="1" applyAlignment="1" applyProtection="1">
      <alignment horizontal="left" vertical="center" wrapText="1" indent="1"/>
      <protection/>
    </xf>
    <xf numFmtId="169" fontId="3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>
      <alignment vertical="center" wrapText="1"/>
    </xf>
    <xf numFmtId="0" fontId="46" fillId="0" borderId="41" xfId="0" applyFont="1" applyFill="1" applyBorder="1" applyAlignment="1" applyProtection="1">
      <alignment horizontal="center" vertical="center" wrapText="1"/>
      <protection/>
    </xf>
    <xf numFmtId="0" fontId="38" fillId="0" borderId="42" xfId="104" applyFont="1" applyFill="1" applyBorder="1" applyAlignment="1" applyProtection="1">
      <alignment horizontal="left" vertical="center" wrapText="1" indent="1"/>
      <protection/>
    </xf>
    <xf numFmtId="0" fontId="46" fillId="0" borderId="39" xfId="0" applyFont="1" applyFill="1" applyBorder="1" applyAlignment="1" applyProtection="1">
      <alignment horizontal="center" vertical="center" wrapText="1"/>
      <protection/>
    </xf>
    <xf numFmtId="0" fontId="46" fillId="0" borderId="26" xfId="104" applyFont="1" applyFill="1" applyBorder="1" applyAlignment="1" applyProtection="1">
      <alignment horizontal="left" vertical="center" wrapText="1" indent="1"/>
      <protection/>
    </xf>
    <xf numFmtId="0" fontId="46" fillId="0" borderId="19" xfId="0" applyFont="1" applyFill="1" applyBorder="1" applyAlignment="1" applyProtection="1">
      <alignment horizontal="center" vertical="center" wrapText="1"/>
      <protection/>
    </xf>
    <xf numFmtId="49" fontId="38" fillId="0" borderId="43" xfId="0" applyNumberFormat="1" applyFont="1" applyFill="1" applyBorder="1" applyAlignment="1" applyProtection="1">
      <alignment horizontal="center" vertical="center" wrapText="1"/>
      <protection/>
    </xf>
    <xf numFmtId="0" fontId="38" fillId="0" borderId="43" xfId="104" applyFont="1" applyFill="1" applyBorder="1" applyAlignment="1" applyProtection="1">
      <alignment horizontal="left" vertical="center" wrapText="1" indent="1"/>
      <protection/>
    </xf>
    <xf numFmtId="169" fontId="3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45" xfId="0" applyFont="1" applyFill="1" applyBorder="1" applyAlignment="1" applyProtection="1">
      <alignment horizontal="center" vertical="center" wrapText="1"/>
      <protection/>
    </xf>
    <xf numFmtId="49" fontId="38" fillId="0" borderId="42" xfId="0" applyNumberFormat="1" applyFont="1" applyFill="1" applyBorder="1" applyAlignment="1" applyProtection="1">
      <alignment horizontal="center" vertical="center" wrapText="1"/>
      <protection/>
    </xf>
    <xf numFmtId="0" fontId="38" fillId="0" borderId="46" xfId="104" applyFont="1" applyFill="1" applyBorder="1" applyAlignment="1" applyProtection="1">
      <alignment horizontal="left" vertical="center" wrapText="1" indent="1"/>
      <protection/>
    </xf>
    <xf numFmtId="169" fontId="38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26" xfId="104" applyNumberFormat="1" applyFont="1" applyFill="1" applyBorder="1" applyAlignment="1" applyProtection="1">
      <alignment horizontal="left" vertical="center" wrapText="1" indent="1"/>
      <protection/>
    </xf>
    <xf numFmtId="0" fontId="47" fillId="0" borderId="48" xfId="0" applyFont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vertical="center" wrapText="1"/>
      <protection/>
    </xf>
    <xf numFmtId="0" fontId="46" fillId="0" borderId="38" xfId="104" applyFont="1" applyFill="1" applyBorder="1" applyAlignment="1" applyProtection="1">
      <alignment horizontal="left" vertical="center" wrapText="1" indent="1"/>
      <protection/>
    </xf>
    <xf numFmtId="49" fontId="38" fillId="0" borderId="43" xfId="104" applyNumberFormat="1" applyFont="1" applyFill="1" applyBorder="1" applyAlignment="1" applyProtection="1">
      <alignment horizontal="left" vertical="center" wrapText="1" indent="1"/>
      <protection/>
    </xf>
    <xf numFmtId="0" fontId="27" fillId="0" borderId="21" xfId="0" applyFont="1" applyFill="1" applyBorder="1" applyAlignment="1" applyProtection="1">
      <alignment vertical="center" wrapText="1"/>
      <protection/>
    </xf>
    <xf numFmtId="49" fontId="38" fillId="0" borderId="24" xfId="104" applyNumberFormat="1" applyFont="1" applyFill="1" applyBorder="1" applyAlignment="1" applyProtection="1">
      <alignment horizontal="left" vertical="center" wrapText="1" indent="1"/>
      <protection/>
    </xf>
    <xf numFmtId="0" fontId="38" fillId="0" borderId="24" xfId="104" applyFont="1" applyFill="1" applyBorder="1" applyAlignment="1" applyProtection="1">
      <alignment horizontal="left" vertical="center" wrapText="1" indent="1"/>
      <protection/>
    </xf>
    <xf numFmtId="169" fontId="38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39" xfId="0" applyFont="1" applyBorder="1" applyAlignment="1" applyProtection="1">
      <alignment horizontal="center" vertical="center" wrapText="1"/>
      <protection/>
    </xf>
    <xf numFmtId="0" fontId="48" fillId="0" borderId="50" xfId="0" applyFont="1" applyBorder="1" applyAlignment="1" applyProtection="1">
      <alignment horizontal="center" wrapText="1"/>
      <protection/>
    </xf>
    <xf numFmtId="0" fontId="46" fillId="0" borderId="50" xfId="104" applyFont="1" applyFill="1" applyBorder="1" applyAlignment="1" applyProtection="1">
      <alignment horizontal="left" vertical="center" wrapText="1" indent="1"/>
      <protection/>
    </xf>
    <xf numFmtId="0" fontId="49" fillId="0" borderId="50" xfId="0" applyFont="1" applyBorder="1" applyAlignment="1" applyProtection="1">
      <alignment horizontal="center" wrapText="1"/>
      <protection/>
    </xf>
    <xf numFmtId="0" fontId="50" fillId="0" borderId="50" xfId="0" applyFont="1" applyBorder="1" applyAlignment="1" applyProtection="1">
      <alignment horizontal="left" wrapText="1" indent="1"/>
      <protection/>
    </xf>
    <xf numFmtId="169" fontId="46" fillId="0" borderId="51" xfId="0" applyNumberFormat="1" applyFont="1" applyFill="1" applyBorder="1" applyAlignment="1" applyProtection="1">
      <alignment horizontal="right" vertical="center" wrapText="1" indent="1"/>
      <protection/>
    </xf>
    <xf numFmtId="0" fontId="38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left" vertical="center" wrapText="1" indent="1"/>
      <protection/>
    </xf>
    <xf numFmtId="169" fontId="4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51" fillId="0" borderId="0" xfId="0" applyFont="1" applyFill="1" applyAlignment="1">
      <alignment vertical="center" wrapText="1"/>
    </xf>
    <xf numFmtId="0" fontId="38" fillId="0" borderId="0" xfId="0" applyFont="1" applyFill="1" applyAlignment="1" applyProtection="1">
      <alignment horizontal="left" vertical="center" wrapText="1"/>
      <protection/>
    </xf>
    <xf numFmtId="0" fontId="38" fillId="0" borderId="0" xfId="0" applyFont="1" applyFill="1" applyAlignment="1" applyProtection="1">
      <alignment vertical="center" wrapText="1"/>
      <protection/>
    </xf>
    <xf numFmtId="0" fontId="38" fillId="0" borderId="0" xfId="0" applyFont="1" applyFill="1" applyAlignment="1" applyProtection="1">
      <alignment horizontal="right" vertical="center" wrapText="1" indent="1"/>
      <protection/>
    </xf>
    <xf numFmtId="0" fontId="46" fillId="0" borderId="30" xfId="0" applyFont="1" applyFill="1" applyBorder="1" applyAlignment="1" applyProtection="1">
      <alignment horizontal="center" vertical="center" wrapText="1"/>
      <protection/>
    </xf>
    <xf numFmtId="0" fontId="46" fillId="0" borderId="37" xfId="0" applyFont="1" applyFill="1" applyBorder="1" applyAlignment="1" applyProtection="1">
      <alignment horizontal="center" vertical="center" wrapText="1"/>
      <protection/>
    </xf>
    <xf numFmtId="0" fontId="42" fillId="0" borderId="37" xfId="0" applyFont="1" applyFill="1" applyBorder="1" applyAlignment="1" applyProtection="1">
      <alignment horizontal="center" vertical="center" wrapText="1"/>
      <protection/>
    </xf>
    <xf numFmtId="0" fontId="46" fillId="0" borderId="26" xfId="104" applyFont="1" applyFill="1" applyBorder="1" applyAlignment="1" applyProtection="1">
      <alignment horizontal="left" vertical="center" wrapText="1" indent="1"/>
      <protection/>
    </xf>
    <xf numFmtId="0" fontId="46" fillId="0" borderId="25" xfId="0" applyFont="1" applyFill="1" applyBorder="1" applyAlignment="1" applyProtection="1">
      <alignment horizontal="center" vertical="center" wrapText="1"/>
      <protection/>
    </xf>
    <xf numFmtId="49" fontId="38" fillId="0" borderId="42" xfId="104" applyNumberFormat="1" applyFont="1" applyFill="1" applyBorder="1" applyAlignment="1" applyProtection="1">
      <alignment horizontal="left" vertical="center" wrapText="1" indent="1"/>
      <protection/>
    </xf>
    <xf numFmtId="0" fontId="46" fillId="0" borderId="20" xfId="0" applyFont="1" applyFill="1" applyBorder="1" applyAlignment="1" applyProtection="1">
      <alignment horizontal="center" vertical="center" wrapText="1"/>
      <protection/>
    </xf>
    <xf numFmtId="49" fontId="38" fillId="0" borderId="22" xfId="104" applyNumberFormat="1" applyFont="1" applyFill="1" applyBorder="1" applyAlignment="1" applyProtection="1">
      <alignment horizontal="left" vertical="center" wrapText="1" indent="1"/>
      <protection/>
    </xf>
    <xf numFmtId="169" fontId="3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26" xfId="0" applyFont="1" applyFill="1" applyBorder="1" applyAlignment="1" applyProtection="1">
      <alignment horizontal="center" vertical="center" wrapText="1"/>
      <protection/>
    </xf>
    <xf numFmtId="169" fontId="46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6" fillId="0" borderId="39" xfId="0" applyFont="1" applyFill="1" applyBorder="1" applyAlignment="1" applyProtection="1">
      <alignment horizontal="left" vertical="center"/>
      <protection/>
    </xf>
    <xf numFmtId="0" fontId="52" fillId="0" borderId="37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9" fontId="46" fillId="0" borderId="37" xfId="0" applyNumberFormat="1" applyFont="1" applyFill="1" applyBorder="1" applyAlignment="1" applyProtection="1">
      <alignment horizontal="right" vertical="center" wrapText="1" indent="1"/>
      <protection/>
    </xf>
    <xf numFmtId="169" fontId="42" fillId="0" borderId="27" xfId="0" applyNumberFormat="1" applyFont="1" applyFill="1" applyBorder="1" applyAlignment="1" applyProtection="1">
      <alignment horizontal="center" vertical="center" wrapText="1"/>
      <protection/>
    </xf>
    <xf numFmtId="169" fontId="46" fillId="0" borderId="26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38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26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9" fontId="0" fillId="0" borderId="0" xfId="0" applyNumberFormat="1" applyFill="1" applyAlignment="1">
      <alignment vertical="center" wrapText="1"/>
    </xf>
    <xf numFmtId="0" fontId="28" fillId="0" borderId="0" xfId="104" applyFill="1">
      <alignment/>
      <protection/>
    </xf>
    <xf numFmtId="3" fontId="38" fillId="0" borderId="0" xfId="104" applyNumberFormat="1" applyFont="1" applyFill="1" applyBorder="1">
      <alignment/>
      <protection/>
    </xf>
    <xf numFmtId="169" fontId="38" fillId="0" borderId="0" xfId="104" applyNumberFormat="1" applyFont="1" applyFill="1" applyBorder="1">
      <alignment/>
      <protection/>
    </xf>
    <xf numFmtId="0" fontId="46" fillId="0" borderId="39" xfId="104" applyFont="1" applyFill="1" applyBorder="1" applyAlignment="1" applyProtection="1">
      <alignment horizontal="left" vertical="center" wrapText="1" indent="1"/>
      <protection/>
    </xf>
    <xf numFmtId="0" fontId="54" fillId="0" borderId="0" xfId="104" applyFont="1" applyFill="1">
      <alignment/>
      <protection/>
    </xf>
    <xf numFmtId="49" fontId="38" fillId="0" borderId="0" xfId="104" applyNumberFormat="1" applyFont="1" applyFill="1" applyBorder="1" applyAlignment="1" applyProtection="1">
      <alignment horizontal="left" vertical="center" wrapText="1" indent="1"/>
      <protection/>
    </xf>
    <xf numFmtId="0" fontId="38" fillId="0" borderId="0" xfId="104" applyFont="1" applyFill="1" applyBorder="1" applyAlignment="1" applyProtection="1">
      <alignment horizontal="left" indent="5"/>
      <protection/>
    </xf>
    <xf numFmtId="3" fontId="38" fillId="0" borderId="0" xfId="104" applyNumberFormat="1" applyFont="1" applyFill="1" applyBorder="1" applyAlignment="1" applyProtection="1">
      <alignment horizontal="right" vertical="center" wrapText="1"/>
      <protection/>
    </xf>
    <xf numFmtId="0" fontId="39" fillId="0" borderId="0" xfId="104" applyFont="1" applyFill="1" applyAlignment="1">
      <alignment horizontal="center" wrapText="1"/>
      <protection/>
    </xf>
    <xf numFmtId="3" fontId="38" fillId="0" borderId="0" xfId="104" applyNumberFormat="1" applyFont="1" applyFill="1">
      <alignment/>
      <protection/>
    </xf>
    <xf numFmtId="0" fontId="38" fillId="0" borderId="0" xfId="104" applyFont="1" applyFill="1">
      <alignment/>
      <protection/>
    </xf>
    <xf numFmtId="49" fontId="20" fillId="0" borderId="0" xfId="0" applyNumberFormat="1" applyFont="1" applyAlignment="1">
      <alignment vertical="center"/>
    </xf>
    <xf numFmtId="0" fontId="33" fillId="0" borderId="0" xfId="0" applyFont="1" applyBorder="1" applyAlignment="1">
      <alignment vertical="center"/>
    </xf>
    <xf numFmtId="49" fontId="7" fillId="0" borderId="53" xfId="0" applyNumberFormat="1" applyFont="1" applyFill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5" fillId="0" borderId="28" xfId="102" applyFont="1" applyFill="1" applyBorder="1" applyAlignment="1">
      <alignment wrapText="1"/>
      <protection/>
    </xf>
    <xf numFmtId="0" fontId="46" fillId="0" borderId="19" xfId="104" applyFont="1" applyFill="1" applyBorder="1" applyAlignment="1" applyProtection="1">
      <alignment horizontal="left" vertical="center" wrapText="1" indent="1"/>
      <protection/>
    </xf>
    <xf numFmtId="49" fontId="46" fillId="0" borderId="20" xfId="104" applyNumberFormat="1" applyFont="1" applyFill="1" applyBorder="1" applyAlignment="1" applyProtection="1">
      <alignment horizontal="left" vertical="center" wrapText="1" indent="1"/>
      <protection/>
    </xf>
    <xf numFmtId="49" fontId="46" fillId="0" borderId="21" xfId="104" applyNumberFormat="1" applyFont="1" applyFill="1" applyBorder="1" applyAlignment="1" applyProtection="1">
      <alignment horizontal="left" vertical="center" wrapText="1" indent="1"/>
      <protection/>
    </xf>
    <xf numFmtId="169" fontId="28" fillId="0" borderId="0" xfId="0" applyNumberFormat="1" applyFont="1" applyFill="1" applyBorder="1" applyAlignment="1" applyProtection="1">
      <alignment horizontal="left" vertical="center" wrapText="1"/>
      <protection/>
    </xf>
    <xf numFmtId="169" fontId="25" fillId="0" borderId="26" xfId="104" applyNumberFormat="1" applyFont="1" applyFill="1" applyBorder="1" applyAlignment="1" applyProtection="1">
      <alignment horizontal="right" vertical="center" wrapText="1"/>
      <protection/>
    </xf>
    <xf numFmtId="169" fontId="35" fillId="0" borderId="54" xfId="104" applyNumberFormat="1" applyFont="1" applyFill="1" applyBorder="1" applyAlignment="1" applyProtection="1">
      <alignment horizontal="left" vertical="center"/>
      <protection/>
    </xf>
    <xf numFmtId="3" fontId="25" fillId="0" borderId="43" xfId="104" applyNumberFormat="1" applyFont="1" applyFill="1" applyBorder="1" applyAlignment="1" applyProtection="1">
      <alignment horizontal="right" vertical="center" wrapText="1"/>
      <protection/>
    </xf>
    <xf numFmtId="3" fontId="25" fillId="0" borderId="22" xfId="104" applyNumberFormat="1" applyFont="1" applyFill="1" applyBorder="1" applyAlignment="1" applyProtection="1">
      <alignment horizontal="right" vertical="center" wrapText="1"/>
      <protection/>
    </xf>
    <xf numFmtId="3" fontId="25" fillId="0" borderId="24" xfId="104" applyNumberFormat="1" applyFont="1" applyFill="1" applyBorder="1" applyAlignment="1" applyProtection="1">
      <alignment horizontal="right" vertical="center" wrapText="1"/>
      <protection/>
    </xf>
    <xf numFmtId="49" fontId="36" fillId="0" borderId="20" xfId="104" applyNumberFormat="1" applyFont="1" applyFill="1" applyBorder="1" applyAlignment="1" applyProtection="1">
      <alignment horizontal="left" vertical="center" wrapText="1"/>
      <protection/>
    </xf>
    <xf numFmtId="49" fontId="27" fillId="0" borderId="20" xfId="104" applyNumberFormat="1" applyFont="1" applyFill="1" applyBorder="1" applyAlignment="1">
      <alignment horizontal="left"/>
      <protection/>
    </xf>
    <xf numFmtId="49" fontId="27" fillId="0" borderId="20" xfId="104" applyNumberFormat="1" applyFont="1" applyFill="1" applyBorder="1" applyAlignment="1" applyProtection="1">
      <alignment horizontal="left" vertical="center" wrapText="1"/>
      <protection/>
    </xf>
    <xf numFmtId="0" fontId="25" fillId="0" borderId="19" xfId="104" applyFont="1" applyFill="1" applyBorder="1" applyAlignment="1">
      <alignment horizontal="center"/>
      <protection/>
    </xf>
    <xf numFmtId="3" fontId="25" fillId="0" borderId="43" xfId="104" applyNumberFormat="1" applyFont="1" applyFill="1" applyBorder="1">
      <alignment/>
      <protection/>
    </xf>
    <xf numFmtId="3" fontId="27" fillId="0" borderId="22" xfId="104" applyNumberFormat="1" applyFont="1" applyFill="1" applyBorder="1">
      <alignment/>
      <protection/>
    </xf>
    <xf numFmtId="169" fontId="27" fillId="0" borderId="22" xfId="104" applyNumberFormat="1" applyFont="1" applyFill="1" applyBorder="1">
      <alignment/>
      <protection/>
    </xf>
    <xf numFmtId="49" fontId="36" fillId="0" borderId="21" xfId="104" applyNumberFormat="1" applyFont="1" applyFill="1" applyBorder="1" applyAlignment="1">
      <alignment horizontal="left"/>
      <protection/>
    </xf>
    <xf numFmtId="3" fontId="27" fillId="0" borderId="24" xfId="104" applyNumberFormat="1" applyFont="1" applyFill="1" applyBorder="1">
      <alignment/>
      <protection/>
    </xf>
    <xf numFmtId="169" fontId="25" fillId="0" borderId="46" xfId="104" applyNumberFormat="1" applyFont="1" applyFill="1" applyBorder="1" applyAlignment="1" applyProtection="1">
      <alignment horizontal="right" vertical="center" wrapText="1"/>
      <protection/>
    </xf>
    <xf numFmtId="169" fontId="25" fillId="0" borderId="43" xfId="104" applyNumberFormat="1" applyFont="1" applyFill="1" applyBorder="1" applyAlignment="1" applyProtection="1">
      <alignment horizontal="right" vertical="center" wrapText="1"/>
      <protection/>
    </xf>
    <xf numFmtId="169" fontId="25" fillId="0" borderId="22" xfId="104" applyNumberFormat="1" applyFont="1" applyFill="1" applyBorder="1" applyAlignment="1" applyProtection="1">
      <alignment horizontal="right" vertical="center" wrapText="1"/>
      <protection/>
    </xf>
    <xf numFmtId="3" fontId="18" fillId="0" borderId="49" xfId="102" applyNumberFormat="1" applyFont="1" applyBorder="1" applyAlignment="1">
      <alignment horizontal="right"/>
      <protection/>
    </xf>
    <xf numFmtId="0" fontId="7" fillId="0" borderId="5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9" fontId="4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9" fontId="42" fillId="0" borderId="38" xfId="0" applyNumberFormat="1" applyFont="1" applyFill="1" applyBorder="1" applyAlignment="1" applyProtection="1">
      <alignment horizontal="center" vertical="center" wrapText="1"/>
      <protection/>
    </xf>
    <xf numFmtId="169" fontId="42" fillId="0" borderId="56" xfId="0" applyNumberFormat="1" applyFont="1" applyFill="1" applyBorder="1" applyAlignment="1" applyProtection="1">
      <alignment horizontal="center" vertical="center" wrapText="1"/>
      <protection/>
    </xf>
    <xf numFmtId="169" fontId="46" fillId="0" borderId="50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57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50" xfId="0" applyNumberFormat="1" applyFont="1" applyFill="1" applyBorder="1" applyAlignment="1" applyProtection="1">
      <alignment horizontal="right" vertical="center" wrapText="1" indent="1"/>
      <protection/>
    </xf>
    <xf numFmtId="169" fontId="42" fillId="0" borderId="29" xfId="0" applyNumberFormat="1" applyFont="1" applyFill="1" applyBorder="1" applyAlignment="1" applyProtection="1">
      <alignment horizontal="center" vertical="center" wrapText="1"/>
      <protection/>
    </xf>
    <xf numFmtId="169" fontId="42" fillId="0" borderId="59" xfId="0" applyNumberFormat="1" applyFont="1" applyFill="1" applyBorder="1" applyAlignment="1" applyProtection="1">
      <alignment horizontal="center" vertical="center" wrapText="1"/>
      <protection/>
    </xf>
    <xf numFmtId="169" fontId="46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3" fontId="3" fillId="49" borderId="26" xfId="0" applyNumberFormat="1" applyFont="1" applyFill="1" applyBorder="1" applyAlignment="1">
      <alignment horizontal="right" vertical="center" wrapText="1"/>
    </xf>
    <xf numFmtId="3" fontId="7" fillId="49" borderId="42" xfId="0" applyNumberFormat="1" applyFont="1" applyFill="1" applyBorder="1" applyAlignment="1">
      <alignment horizontal="right" vertical="center" wrapText="1"/>
    </xf>
    <xf numFmtId="3" fontId="7" fillId="49" borderId="22" xfId="0" applyNumberFormat="1" applyFont="1" applyFill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42" xfId="0" applyNumberFormat="1" applyFont="1" applyFill="1" applyBorder="1" applyAlignment="1">
      <alignment vertical="center"/>
    </xf>
    <xf numFmtId="3" fontId="7" fillId="0" borderId="42" xfId="0" applyNumberFormat="1" applyFont="1" applyFill="1" applyBorder="1" applyAlignment="1">
      <alignment vertical="center"/>
    </xf>
    <xf numFmtId="0" fontId="39" fillId="0" borderId="0" xfId="104" applyFont="1" applyFill="1" applyBorder="1" applyAlignment="1">
      <alignment horizontal="center" wrapText="1"/>
      <protection/>
    </xf>
    <xf numFmtId="0" fontId="3" fillId="0" borderId="37" xfId="0" applyFont="1" applyFill="1" applyBorder="1" applyAlignment="1">
      <alignment horizontal="center" vertical="center" wrapText="1"/>
    </xf>
    <xf numFmtId="0" fontId="39" fillId="0" borderId="0" xfId="104" applyFont="1" applyFill="1" applyAlignment="1">
      <alignment horizontal="center"/>
      <protection/>
    </xf>
    <xf numFmtId="0" fontId="3" fillId="0" borderId="3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46" fillId="0" borderId="61" xfId="0" applyFont="1" applyFill="1" applyBorder="1" applyAlignment="1" applyProtection="1">
      <alignment horizontal="center" vertical="center" wrapText="1"/>
      <protection/>
    </xf>
    <xf numFmtId="169" fontId="42" fillId="0" borderId="62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>
      <alignment horizontal="centerContinuous" vertical="center" wrapText="1"/>
    </xf>
    <xf numFmtId="0" fontId="12" fillId="1" borderId="25" xfId="102" applyFont="1" applyFill="1" applyBorder="1" applyAlignment="1">
      <alignment horizontal="center" vertical="center" wrapText="1"/>
      <protection/>
    </xf>
    <xf numFmtId="0" fontId="12" fillId="1" borderId="42" xfId="102" applyFont="1" applyFill="1" applyBorder="1" applyAlignment="1">
      <alignment horizontal="center" vertical="center"/>
      <protection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0" fontId="42" fillId="0" borderId="30" xfId="0" applyFont="1" applyFill="1" applyBorder="1" applyAlignment="1" applyProtection="1">
      <alignment horizontal="center" vertical="center" wrapText="1"/>
      <protection/>
    </xf>
    <xf numFmtId="0" fontId="42" fillId="0" borderId="50" xfId="0" applyFont="1" applyFill="1" applyBorder="1" applyAlignment="1" applyProtection="1">
      <alignment horizontal="center" vertical="center" wrapText="1"/>
      <protection/>
    </xf>
    <xf numFmtId="0" fontId="11" fillId="0" borderId="0" xfId="102" applyFont="1" applyAlignment="1">
      <alignment wrapText="1"/>
      <protection/>
    </xf>
    <xf numFmtId="0" fontId="0" fillId="0" borderId="0" xfId="0" applyFont="1" applyFill="1" applyAlignment="1">
      <alignment vertical="center" wrapText="1"/>
    </xf>
    <xf numFmtId="0" fontId="59" fillId="0" borderId="50" xfId="0" applyFont="1" applyBorder="1" applyAlignment="1" applyProtection="1">
      <alignment horizontal="center" wrapText="1"/>
      <protection/>
    </xf>
    <xf numFmtId="0" fontId="44" fillId="0" borderId="50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9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3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3" fillId="0" borderId="30" xfId="102" applyFont="1" applyBorder="1" applyAlignment="1">
      <alignment horizontal="center" vertical="center"/>
      <protection/>
    </xf>
    <xf numFmtId="3" fontId="13" fillId="0" borderId="25" xfId="102" applyNumberFormat="1" applyFont="1" applyFill="1" applyBorder="1" applyAlignment="1">
      <alignment vertical="center"/>
      <protection/>
    </xf>
    <xf numFmtId="0" fontId="11" fillId="0" borderId="33" xfId="102" applyFont="1" applyBorder="1" applyAlignment="1">
      <alignment vertical="center" wrapText="1"/>
      <protection/>
    </xf>
    <xf numFmtId="0" fontId="11" fillId="0" borderId="31" xfId="102" applyFont="1" applyBorder="1" applyAlignment="1">
      <alignment vertical="center" wrapText="1"/>
      <protection/>
    </xf>
    <xf numFmtId="0" fontId="11" fillId="0" borderId="35" xfId="102" applyFont="1" applyBorder="1" applyAlignment="1">
      <alignment vertical="center" wrapText="1"/>
      <protection/>
    </xf>
    <xf numFmtId="0" fontId="11" fillId="0" borderId="63" xfId="102" applyFont="1" applyBorder="1" applyAlignment="1">
      <alignment vertical="center" wrapText="1"/>
      <protection/>
    </xf>
    <xf numFmtId="0" fontId="13" fillId="0" borderId="64" xfId="102" applyFont="1" applyBorder="1" applyAlignment="1">
      <alignment vertical="center" wrapText="1"/>
      <protection/>
    </xf>
    <xf numFmtId="0" fontId="11" fillId="0" borderId="33" xfId="102" applyFont="1" applyBorder="1" applyAlignment="1">
      <alignment vertical="center"/>
      <protection/>
    </xf>
    <xf numFmtId="0" fontId="11" fillId="0" borderId="35" xfId="102" applyFont="1" applyBorder="1" applyAlignment="1">
      <alignment vertical="center"/>
      <protection/>
    </xf>
    <xf numFmtId="0" fontId="13" fillId="0" borderId="30" xfId="102" applyFont="1" applyBorder="1" applyAlignment="1">
      <alignment vertical="center"/>
      <protection/>
    </xf>
    <xf numFmtId="0" fontId="17" fillId="0" borderId="30" xfId="102" applyFont="1" applyBorder="1" applyAlignment="1">
      <alignment horizontal="center" vertical="center"/>
      <protection/>
    </xf>
    <xf numFmtId="0" fontId="10" fillId="0" borderId="64" xfId="0" applyFont="1" applyBorder="1" applyAlignment="1">
      <alignment horizontal="center" vertical="center" wrapText="1"/>
    </xf>
    <xf numFmtId="0" fontId="19" fillId="0" borderId="35" xfId="102" applyFont="1" applyFill="1" applyBorder="1" applyAlignment="1">
      <alignment vertical="center" wrapText="1"/>
      <protection/>
    </xf>
    <xf numFmtId="0" fontId="13" fillId="0" borderId="30" xfId="102" applyFont="1" applyBorder="1" applyAlignment="1">
      <alignment vertical="center" wrapText="1"/>
      <protection/>
    </xf>
    <xf numFmtId="0" fontId="13" fillId="0" borderId="30" xfId="102" applyFont="1" applyFill="1" applyBorder="1" applyAlignment="1">
      <alignment vertical="center"/>
      <protection/>
    </xf>
    <xf numFmtId="0" fontId="31" fillId="0" borderId="64" xfId="102" applyFont="1" applyBorder="1" applyAlignment="1">
      <alignment horizontal="center" vertical="center"/>
      <protection/>
    </xf>
    <xf numFmtId="0" fontId="7" fillId="0" borderId="34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2" xfId="78" applyFont="1" applyBorder="1" applyAlignment="1" applyProtection="1">
      <alignment vertical="center" wrapText="1"/>
      <protection/>
    </xf>
    <xf numFmtId="0" fontId="7" fillId="0" borderId="32" xfId="0" applyFont="1" applyFill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32" fillId="0" borderId="39" xfId="0" applyNumberFormat="1" applyFont="1" applyFill="1" applyBorder="1" applyAlignment="1">
      <alignment vertical="center"/>
    </xf>
    <xf numFmtId="3" fontId="32" fillId="0" borderId="26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horizontal="right" vertical="center"/>
    </xf>
    <xf numFmtId="3" fontId="7" fillId="0" borderId="28" xfId="0" applyNumberFormat="1" applyFont="1" applyBorder="1" applyAlignment="1">
      <alignment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3" fontId="3" fillId="49" borderId="39" xfId="0" applyNumberFormat="1" applyFont="1" applyFill="1" applyBorder="1" applyAlignment="1">
      <alignment horizontal="right" vertical="center" wrapText="1"/>
    </xf>
    <xf numFmtId="3" fontId="7" fillId="49" borderId="25" xfId="0" applyNumberFormat="1" applyFont="1" applyFill="1" applyBorder="1" applyAlignment="1">
      <alignment horizontal="right" vertical="center" wrapText="1"/>
    </xf>
    <xf numFmtId="3" fontId="7" fillId="49" borderId="20" xfId="0" applyNumberFormat="1" applyFont="1" applyFill="1" applyBorder="1" applyAlignment="1">
      <alignment horizontal="right" vertical="center" wrapText="1"/>
    </xf>
    <xf numFmtId="3" fontId="7" fillId="0" borderId="20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49" fontId="0" fillId="0" borderId="55" xfId="0" applyNumberFormat="1" applyFont="1" applyBorder="1" applyAlignment="1">
      <alignment horizontal="left"/>
    </xf>
    <xf numFmtId="0" fontId="13" fillId="0" borderId="37" xfId="102" applyFont="1" applyBorder="1" applyAlignment="1">
      <alignment horizontal="center" vertical="center"/>
      <protection/>
    </xf>
    <xf numFmtId="49" fontId="3" fillId="0" borderId="65" xfId="0" applyNumberFormat="1" applyFont="1" applyBorder="1" applyAlignment="1">
      <alignment horizontal="left" vertical="center"/>
    </xf>
    <xf numFmtId="3" fontId="3" fillId="0" borderId="48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11" fillId="0" borderId="0" xfId="102" applyNumberFormat="1" applyFont="1">
      <alignment/>
      <protection/>
    </xf>
    <xf numFmtId="10" fontId="46" fillId="0" borderId="40" xfId="0" applyNumberFormat="1" applyFont="1" applyFill="1" applyBorder="1" applyAlignment="1" applyProtection="1">
      <alignment horizontal="right" vertical="center" wrapText="1" indent="1"/>
      <protection/>
    </xf>
    <xf numFmtId="3" fontId="34" fillId="0" borderId="66" xfId="102" applyNumberFormat="1" applyFont="1" applyFill="1" applyBorder="1" applyAlignment="1">
      <alignment horizontal="right"/>
      <protection/>
    </xf>
    <xf numFmtId="3" fontId="34" fillId="0" borderId="66" xfId="102" applyNumberFormat="1" applyFont="1" applyBorder="1" applyAlignment="1">
      <alignment horizontal="right"/>
      <protection/>
    </xf>
    <xf numFmtId="0" fontId="34" fillId="0" borderId="20" xfId="102" applyFont="1" applyBorder="1" applyAlignment="1">
      <alignment horizontal="right"/>
      <protection/>
    </xf>
    <xf numFmtId="3" fontId="34" fillId="0" borderId="20" xfId="102" applyNumberFormat="1" applyFont="1" applyBorder="1" applyAlignment="1">
      <alignment horizontal="right"/>
      <protection/>
    </xf>
    <xf numFmtId="3" fontId="34" fillId="0" borderId="20" xfId="102" applyNumberFormat="1" applyFont="1" applyFill="1" applyBorder="1" applyAlignment="1">
      <alignment horizontal="right"/>
      <protection/>
    </xf>
    <xf numFmtId="3" fontId="34" fillId="0" borderId="62" xfId="102" applyNumberFormat="1" applyFont="1" applyBorder="1" applyAlignment="1">
      <alignment horizontal="right"/>
      <protection/>
    </xf>
    <xf numFmtId="0" fontId="3" fillId="0" borderId="3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Continuous" vertical="center" wrapText="1"/>
    </xf>
    <xf numFmtId="0" fontId="3" fillId="0" borderId="40" xfId="0" applyFont="1" applyFill="1" applyBorder="1" applyAlignment="1">
      <alignment horizontal="centerContinuous" vertical="center" wrapText="1"/>
    </xf>
    <xf numFmtId="3" fontId="7" fillId="0" borderId="20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7" fillId="0" borderId="41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10" fontId="4" fillId="0" borderId="26" xfId="0" applyNumberFormat="1" applyFont="1" applyBorder="1" applyAlignment="1">
      <alignment vertical="center"/>
    </xf>
    <xf numFmtId="10" fontId="4" fillId="0" borderId="40" xfId="0" applyNumberFormat="1" applyFont="1" applyBorder="1" applyAlignment="1">
      <alignment vertical="center"/>
    </xf>
    <xf numFmtId="0" fontId="11" fillId="0" borderId="34" xfId="102" applyFont="1" applyBorder="1" applyAlignment="1">
      <alignment vertical="center" wrapText="1"/>
      <protection/>
    </xf>
    <xf numFmtId="0" fontId="11" fillId="0" borderId="32" xfId="102" applyFont="1" applyBorder="1" applyAlignment="1">
      <alignment vertical="center" wrapText="1"/>
      <protection/>
    </xf>
    <xf numFmtId="0" fontId="11" fillId="0" borderId="32" xfId="102" applyFont="1" applyFill="1" applyBorder="1" applyAlignment="1">
      <alignment vertical="center" wrapText="1"/>
      <protection/>
    </xf>
    <xf numFmtId="0" fontId="11" fillId="0" borderId="36" xfId="102" applyFont="1" applyBorder="1" applyAlignment="1">
      <alignment vertical="center" wrapText="1"/>
      <protection/>
    </xf>
    <xf numFmtId="0" fontId="11" fillId="0" borderId="67" xfId="102" applyFont="1" applyBorder="1" applyAlignment="1">
      <alignment vertical="center" wrapText="1"/>
      <protection/>
    </xf>
    <xf numFmtId="0" fontId="13" fillId="0" borderId="37" xfId="102" applyFont="1" applyBorder="1" applyAlignment="1">
      <alignment vertical="center" wrapText="1"/>
      <protection/>
    </xf>
    <xf numFmtId="0" fontId="17" fillId="0" borderId="37" xfId="102" applyFont="1" applyBorder="1" applyAlignment="1">
      <alignment horizontal="center" vertical="center" wrapText="1"/>
      <protection/>
    </xf>
    <xf numFmtId="0" fontId="11" fillId="0" borderId="53" xfId="102" applyFont="1" applyBorder="1" applyAlignment="1">
      <alignment vertical="center" wrapText="1"/>
      <protection/>
    </xf>
    <xf numFmtId="0" fontId="13" fillId="0" borderId="37" xfId="102" applyFont="1" applyBorder="1" applyAlignment="1">
      <alignment vertical="center"/>
      <protection/>
    </xf>
    <xf numFmtId="0" fontId="11" fillId="0" borderId="34" xfId="102" applyFont="1" applyFill="1" applyBorder="1" applyAlignment="1">
      <alignment vertical="center" wrapText="1"/>
      <protection/>
    </xf>
    <xf numFmtId="0" fontId="11" fillId="0" borderId="36" xfId="102" applyFont="1" applyBorder="1" applyAlignment="1">
      <alignment vertical="center"/>
      <protection/>
    </xf>
    <xf numFmtId="0" fontId="10" fillId="0" borderId="54" xfId="0" applyFont="1" applyBorder="1" applyAlignment="1">
      <alignment horizontal="center" vertical="center" wrapText="1"/>
    </xf>
    <xf numFmtId="0" fontId="31" fillId="0" borderId="37" xfId="102" applyFont="1" applyBorder="1" applyAlignment="1">
      <alignment horizontal="center" vertical="center"/>
      <protection/>
    </xf>
    <xf numFmtId="0" fontId="13" fillId="0" borderId="39" xfId="102" applyFont="1" applyBorder="1" applyAlignment="1">
      <alignment horizontal="center" vertical="center"/>
      <protection/>
    </xf>
    <xf numFmtId="0" fontId="13" fillId="0" borderId="26" xfId="102" applyFont="1" applyBorder="1" applyAlignment="1">
      <alignment horizontal="center" vertical="center"/>
      <protection/>
    </xf>
    <xf numFmtId="0" fontId="13" fillId="0" borderId="40" xfId="102" applyFont="1" applyBorder="1" applyAlignment="1">
      <alignment horizontal="center" vertical="center"/>
      <protection/>
    </xf>
    <xf numFmtId="3" fontId="11" fillId="0" borderId="25" xfId="102" applyNumberFormat="1" applyBorder="1" applyAlignment="1">
      <alignment vertical="center"/>
      <protection/>
    </xf>
    <xf numFmtId="3" fontId="11" fillId="0" borderId="20" xfId="102" applyNumberFormat="1" applyBorder="1" applyAlignment="1">
      <alignment vertical="center"/>
      <protection/>
    </xf>
    <xf numFmtId="3" fontId="11" fillId="0" borderId="28" xfId="102" applyNumberFormat="1" applyBorder="1" applyAlignment="1">
      <alignment vertical="center"/>
      <protection/>
    </xf>
    <xf numFmtId="3" fontId="11" fillId="0" borderId="21" xfId="102" applyNumberFormat="1" applyBorder="1" applyAlignment="1">
      <alignment vertical="center"/>
      <protection/>
    </xf>
    <xf numFmtId="3" fontId="11" fillId="0" borderId="45" xfId="102" applyNumberFormat="1" applyBorder="1" applyAlignment="1">
      <alignment vertical="center"/>
      <protection/>
    </xf>
    <xf numFmtId="3" fontId="13" fillId="0" borderId="28" xfId="102" applyNumberFormat="1" applyFont="1" applyBorder="1" applyAlignment="1">
      <alignment vertical="center"/>
      <protection/>
    </xf>
    <xf numFmtId="3" fontId="13" fillId="0" borderId="39" xfId="102" applyNumberFormat="1" applyFont="1" applyBorder="1" applyAlignment="1">
      <alignment vertical="center"/>
      <protection/>
    </xf>
    <xf numFmtId="3" fontId="17" fillId="0" borderId="39" xfId="102" applyNumberFormat="1" applyFont="1" applyBorder="1" applyAlignment="1">
      <alignment vertical="center"/>
      <protection/>
    </xf>
    <xf numFmtId="3" fontId="11" fillId="0" borderId="19" xfId="102" applyNumberFormat="1" applyFill="1" applyBorder="1" applyAlignment="1">
      <alignment vertical="center"/>
      <protection/>
    </xf>
    <xf numFmtId="3" fontId="11" fillId="0" borderId="25" xfId="102" applyNumberFormat="1" applyFont="1" applyBorder="1" applyAlignment="1">
      <alignment vertical="center"/>
      <protection/>
    </xf>
    <xf numFmtId="3" fontId="17" fillId="0" borderId="28" xfId="102" applyNumberFormat="1" applyFont="1" applyBorder="1" applyAlignment="1">
      <alignment vertical="center"/>
      <protection/>
    </xf>
    <xf numFmtId="3" fontId="17" fillId="0" borderId="45" xfId="102" applyNumberFormat="1" applyFont="1" applyBorder="1" applyAlignment="1">
      <alignment vertical="center"/>
      <protection/>
    </xf>
    <xf numFmtId="3" fontId="31" fillId="0" borderId="45" xfId="102" applyNumberFormat="1" applyFont="1" applyBorder="1" applyAlignment="1">
      <alignment vertical="center"/>
      <protection/>
    </xf>
    <xf numFmtId="3" fontId="11" fillId="0" borderId="19" xfId="102" applyNumberFormat="1" applyBorder="1" applyAlignment="1">
      <alignment vertical="center"/>
      <protection/>
    </xf>
    <xf numFmtId="3" fontId="11" fillId="0" borderId="20" xfId="102" applyNumberFormat="1" applyFill="1" applyBorder="1" applyAlignment="1">
      <alignment vertical="center"/>
      <protection/>
    </xf>
    <xf numFmtId="3" fontId="11" fillId="0" borderId="39" xfId="102" applyNumberFormat="1" applyBorder="1" applyAlignment="1">
      <alignment vertical="center"/>
      <protection/>
    </xf>
    <xf numFmtId="3" fontId="31" fillId="0" borderId="39" xfId="102" applyNumberFormat="1" applyFont="1" applyBorder="1" applyAlignment="1">
      <alignment vertical="center"/>
      <protection/>
    </xf>
    <xf numFmtId="0" fontId="3" fillId="0" borderId="39" xfId="0" applyFont="1" applyFill="1" applyBorder="1" applyAlignment="1">
      <alignment horizontal="centerContinuous" vertical="center" wrapText="1"/>
    </xf>
    <xf numFmtId="3" fontId="3" fillId="0" borderId="28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49" borderId="19" xfId="0" applyNumberFormat="1" applyFont="1" applyFill="1" applyBorder="1" applyAlignment="1">
      <alignment horizontal="right" vertical="center" wrapText="1"/>
    </xf>
    <xf numFmtId="3" fontId="7" fillId="49" borderId="43" xfId="0" applyNumberFormat="1" applyFont="1" applyFill="1" applyBorder="1" applyAlignment="1">
      <alignment horizontal="right" vertical="center" wrapText="1"/>
    </xf>
    <xf numFmtId="49" fontId="0" fillId="0" borderId="63" xfId="0" applyNumberFormat="1" applyFont="1" applyBorder="1" applyAlignment="1">
      <alignment horizontal="left"/>
    </xf>
    <xf numFmtId="49" fontId="7" fillId="0" borderId="68" xfId="0" applyNumberFormat="1" applyFont="1" applyBorder="1" applyAlignment="1">
      <alignment horizontal="left" vertical="center"/>
    </xf>
    <xf numFmtId="0" fontId="42" fillId="0" borderId="57" xfId="0" applyFont="1" applyFill="1" applyBorder="1" applyAlignment="1" applyProtection="1">
      <alignment horizontal="center" vertical="center" wrapText="1"/>
      <protection/>
    </xf>
    <xf numFmtId="0" fontId="42" fillId="0" borderId="56" xfId="0" applyFont="1" applyFill="1" applyBorder="1" applyAlignment="1" applyProtection="1">
      <alignment horizontal="center" vertical="center" wrapText="1"/>
      <protection/>
    </xf>
    <xf numFmtId="169" fontId="46" fillId="0" borderId="51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37" xfId="0" applyNumberFormat="1" applyFont="1" applyFill="1" applyBorder="1" applyAlignment="1" applyProtection="1">
      <alignment horizontal="right" vertical="center" wrapText="1" indent="1"/>
      <protection/>
    </xf>
    <xf numFmtId="10" fontId="38" fillId="0" borderId="53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37" xfId="0" applyNumberFormat="1" applyFont="1" applyFill="1" applyBorder="1" applyAlignment="1" applyProtection="1">
      <alignment horizontal="right" vertical="center" wrapText="1" indent="1"/>
      <protection/>
    </xf>
    <xf numFmtId="169" fontId="42" fillId="0" borderId="28" xfId="0" applyNumberFormat="1" applyFont="1" applyFill="1" applyBorder="1" applyAlignment="1" applyProtection="1">
      <alignment horizontal="center" vertical="center" wrapText="1"/>
      <protection/>
    </xf>
    <xf numFmtId="169" fontId="46" fillId="0" borderId="39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48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39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61" xfId="104" applyFont="1" applyFill="1" applyBorder="1" applyAlignment="1" applyProtection="1">
      <alignment horizontal="left" vertical="center" wrapText="1" indent="1"/>
      <protection/>
    </xf>
    <xf numFmtId="0" fontId="38" fillId="0" borderId="69" xfId="104" applyFont="1" applyFill="1" applyBorder="1" applyAlignment="1" applyProtection="1">
      <alignment horizontal="left" vertical="center" wrapText="1" indent="1"/>
      <protection/>
    </xf>
    <xf numFmtId="0" fontId="38" fillId="0" borderId="66" xfId="104" applyFont="1" applyFill="1" applyBorder="1" applyAlignment="1" applyProtection="1">
      <alignment horizontal="left" vertical="center" wrapText="1" indent="1"/>
      <protection/>
    </xf>
    <xf numFmtId="0" fontId="46" fillId="0" borderId="61" xfId="104" applyFont="1" applyFill="1" applyBorder="1" applyAlignment="1" applyProtection="1">
      <alignment horizontal="left" vertical="center" wrapText="1" indent="1"/>
      <protection/>
    </xf>
    <xf numFmtId="0" fontId="46" fillId="0" borderId="37" xfId="104" applyFont="1" applyFill="1" applyBorder="1" applyAlignment="1" applyProtection="1">
      <alignment horizontal="left" vertical="center" wrapText="1" indent="1"/>
      <protection/>
    </xf>
    <xf numFmtId="0" fontId="42" fillId="0" borderId="61" xfId="0" applyFont="1" applyFill="1" applyBorder="1" applyAlignment="1" applyProtection="1">
      <alignment horizontal="left" vertical="center" wrapText="1" indent="1"/>
      <protection/>
    </xf>
    <xf numFmtId="0" fontId="26" fillId="0" borderId="37" xfId="0" applyFont="1" applyFill="1" applyBorder="1" applyAlignment="1" applyProtection="1">
      <alignment vertical="center" wrapText="1"/>
      <protection/>
    </xf>
    <xf numFmtId="169" fontId="3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0" fontId="38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42" fillId="0" borderId="48" xfId="0" applyFont="1" applyFill="1" applyBorder="1" applyAlignment="1" applyProtection="1">
      <alignment horizontal="center" vertical="center" wrapText="1"/>
      <protection/>
    </xf>
    <xf numFmtId="10" fontId="46" fillId="0" borderId="51" xfId="0" applyNumberFormat="1" applyFont="1" applyFill="1" applyBorder="1" applyAlignment="1" applyProtection="1">
      <alignment horizontal="right" vertical="center" wrapText="1" indent="1"/>
      <protection/>
    </xf>
    <xf numFmtId="10" fontId="38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5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1" xfId="0" applyFill="1" applyBorder="1" applyAlignment="1" applyProtection="1">
      <alignment horizontal="right" vertical="center" wrapText="1" indent="1"/>
      <protection/>
    </xf>
    <xf numFmtId="0" fontId="0" fillId="0" borderId="52" xfId="0" applyFill="1" applyBorder="1" applyAlignment="1" applyProtection="1">
      <alignment horizontal="right" vertical="center" wrapText="1" indent="1"/>
      <protection/>
    </xf>
    <xf numFmtId="0" fontId="0" fillId="0" borderId="60" xfId="0" applyFill="1" applyBorder="1" applyAlignment="1">
      <alignment vertical="center" wrapText="1"/>
    </xf>
    <xf numFmtId="3" fontId="2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71" xfId="0" applyFont="1" applyFill="1" applyBorder="1" applyAlignment="1" applyProtection="1">
      <alignment horizontal="center" vertical="center" wrapText="1"/>
      <protection/>
    </xf>
    <xf numFmtId="0" fontId="46" fillId="0" borderId="61" xfId="0" applyFont="1" applyFill="1" applyBorder="1" applyAlignment="1" applyProtection="1">
      <alignment horizontal="left" vertical="center" wrapText="1" indent="1"/>
      <protection/>
    </xf>
    <xf numFmtId="0" fontId="38" fillId="0" borderId="72" xfId="104" applyFont="1" applyFill="1" applyBorder="1" applyAlignment="1" applyProtection="1">
      <alignment horizontal="left" vertical="center" wrapText="1" indent="1"/>
      <protection/>
    </xf>
    <xf numFmtId="0" fontId="38" fillId="0" borderId="73" xfId="104" applyFont="1" applyFill="1" applyBorder="1" applyAlignment="1" applyProtection="1">
      <alignment horizontal="left" vertical="center" wrapText="1" indent="1"/>
      <protection/>
    </xf>
    <xf numFmtId="0" fontId="46" fillId="0" borderId="71" xfId="104" applyFont="1" applyFill="1" applyBorder="1" applyAlignment="1" applyProtection="1">
      <alignment horizontal="left" vertical="center" wrapText="1" indent="1"/>
      <protection/>
    </xf>
    <xf numFmtId="0" fontId="38" fillId="0" borderId="74" xfId="104" applyFont="1" applyFill="1" applyBorder="1" applyAlignment="1" applyProtection="1">
      <alignment horizontal="left" vertical="center" wrapText="1" indent="1"/>
      <protection/>
    </xf>
    <xf numFmtId="0" fontId="43" fillId="0" borderId="37" xfId="0" applyFont="1" applyBorder="1" applyAlignment="1" applyProtection="1">
      <alignment horizontal="left" wrapText="1" indent="1"/>
      <protection/>
    </xf>
    <xf numFmtId="0" fontId="46" fillId="0" borderId="51" xfId="0" applyFont="1" applyFill="1" applyBorder="1" applyAlignment="1" applyProtection="1">
      <alignment horizontal="center" vertical="center" wrapText="1"/>
      <protection/>
    </xf>
    <xf numFmtId="169" fontId="42" fillId="0" borderId="75" xfId="0" applyNumberFormat="1" applyFont="1" applyFill="1" applyBorder="1" applyAlignment="1" applyProtection="1">
      <alignment horizontal="center" vertical="center" wrapText="1"/>
      <protection/>
    </xf>
    <xf numFmtId="10" fontId="38" fillId="0" borderId="32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9" fontId="42" fillId="0" borderId="52" xfId="0" applyNumberFormat="1" applyFont="1" applyFill="1" applyBorder="1" applyAlignment="1" applyProtection="1">
      <alignment horizontal="center" vertical="center" wrapText="1"/>
      <protection/>
    </xf>
    <xf numFmtId="10" fontId="38" fillId="0" borderId="23" xfId="0" applyNumberFormat="1" applyFont="1" applyFill="1" applyBorder="1" applyAlignment="1" applyProtection="1">
      <alignment horizontal="right" vertical="center" wrapText="1" indent="1"/>
      <protection/>
    </xf>
    <xf numFmtId="169" fontId="42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right" vertical="center" wrapText="1" indent="1"/>
      <protection/>
    </xf>
    <xf numFmtId="0" fontId="0" fillId="0" borderId="52" xfId="0" applyFont="1" applyFill="1" applyBorder="1" applyAlignment="1" applyProtection="1">
      <alignment horizontal="right" vertical="center" wrapText="1" indent="1"/>
      <protection/>
    </xf>
    <xf numFmtId="0" fontId="0" fillId="0" borderId="60" xfId="0" applyFont="1" applyFill="1" applyBorder="1" applyAlignment="1" applyProtection="1">
      <alignment horizontal="right" vertical="center" wrapText="1" indent="1"/>
      <protection/>
    </xf>
    <xf numFmtId="0" fontId="26" fillId="0" borderId="51" xfId="0" applyFont="1" applyFill="1" applyBorder="1" applyAlignment="1">
      <alignment vertical="center"/>
    </xf>
    <xf numFmtId="10" fontId="46" fillId="0" borderId="47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76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7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78" xfId="0" applyFont="1" applyFill="1" applyBorder="1" applyAlignment="1" applyProtection="1">
      <alignment horizontal="right" vertical="center" wrapText="1" indent="1"/>
      <protection/>
    </xf>
    <xf numFmtId="3" fontId="26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26" xfId="0" applyNumberFormat="1" applyFont="1" applyFill="1" applyBorder="1" applyAlignment="1" applyProtection="1">
      <alignment horizontal="right" vertical="center" wrapText="1" indent="1"/>
      <protection/>
    </xf>
    <xf numFmtId="49" fontId="3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38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49" fontId="38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38" xfId="0" applyNumberFormat="1" applyFont="1" applyFill="1" applyBorder="1" applyAlignment="1" applyProtection="1">
      <alignment horizontal="right" vertical="center" wrapText="1" indent="1"/>
      <protection/>
    </xf>
    <xf numFmtId="49" fontId="3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26" xfId="0" applyNumberFormat="1" applyFont="1" applyFill="1" applyBorder="1" applyAlignment="1" applyProtection="1">
      <alignment horizontal="right" vertical="center" wrapText="1" indent="1"/>
      <protection/>
    </xf>
    <xf numFmtId="49" fontId="46" fillId="0" borderId="40" xfId="0" applyNumberFormat="1" applyFont="1" applyFill="1" applyBorder="1" applyAlignment="1" applyProtection="1">
      <alignment horizontal="right" vertical="center" wrapText="1" indent="1"/>
      <protection/>
    </xf>
    <xf numFmtId="49" fontId="38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49" fontId="3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40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60" xfId="0" applyNumberFormat="1" applyFont="1" applyFill="1" applyBorder="1" applyAlignment="1" applyProtection="1">
      <alignment horizontal="right" vertical="center" wrapText="1" indent="1"/>
      <protection/>
    </xf>
    <xf numFmtId="49" fontId="2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66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3" fontId="15" fillId="0" borderId="20" xfId="102" applyNumberFormat="1" applyFont="1" applyFill="1" applyBorder="1" applyAlignment="1">
      <alignment vertical="center"/>
      <protection/>
    </xf>
    <xf numFmtId="3" fontId="15" fillId="0" borderId="20" xfId="0" applyNumberFormat="1" applyFont="1" applyFill="1" applyBorder="1" applyAlignment="1">
      <alignment horizontal="right" vertical="center"/>
    </xf>
    <xf numFmtId="3" fontId="15" fillId="0" borderId="20" xfId="102" applyNumberFormat="1" applyFont="1" applyFill="1" applyBorder="1" applyAlignment="1">
      <alignment horizontal="right" vertical="center"/>
      <protection/>
    </xf>
    <xf numFmtId="3" fontId="12" fillId="0" borderId="39" xfId="102" applyNumberFormat="1" applyFont="1" applyFill="1" applyBorder="1" applyAlignment="1">
      <alignment horizontal="right" vertical="center"/>
      <protection/>
    </xf>
    <xf numFmtId="10" fontId="15" fillId="0" borderId="23" xfId="102" applyNumberFormat="1" applyFont="1" applyFill="1" applyBorder="1" applyAlignment="1">
      <alignment vertical="center"/>
      <protection/>
    </xf>
    <xf numFmtId="3" fontId="15" fillId="0" borderId="20" xfId="0" applyNumberFormat="1" applyFont="1" applyFill="1" applyBorder="1" applyAlignment="1">
      <alignment vertical="center"/>
    </xf>
    <xf numFmtId="3" fontId="15" fillId="0" borderId="20" xfId="102" applyNumberFormat="1" applyFont="1" applyFill="1" applyBorder="1" applyAlignment="1">
      <alignment vertical="center"/>
      <protection/>
    </xf>
    <xf numFmtId="0" fontId="11" fillId="0" borderId="55" xfId="102" applyFont="1" applyBorder="1">
      <alignment/>
      <protection/>
    </xf>
    <xf numFmtId="0" fontId="11" fillId="0" borderId="55" xfId="102" applyFont="1" applyFill="1" applyBorder="1">
      <alignment/>
      <protection/>
    </xf>
    <xf numFmtId="0" fontId="12" fillId="1" borderId="42" xfId="102" applyFont="1" applyFill="1" applyBorder="1" applyAlignment="1">
      <alignment horizontal="center" vertical="center" wrapText="1"/>
      <protection/>
    </xf>
    <xf numFmtId="0" fontId="7" fillId="0" borderId="32" xfId="0" applyFont="1" applyBorder="1" applyAlignment="1">
      <alignment horizontal="left" wrapText="1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right" vertical="center"/>
    </xf>
    <xf numFmtId="3" fontId="2" fillId="0" borderId="39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10" fontId="2" fillId="0" borderId="26" xfId="0" applyNumberFormat="1" applyFont="1" applyBorder="1" applyAlignment="1">
      <alignment vertical="center"/>
    </xf>
    <xf numFmtId="49" fontId="3" fillId="0" borderId="68" xfId="0" applyNumberFormat="1" applyFont="1" applyBorder="1" applyAlignment="1">
      <alignment horizontal="left" vertical="center"/>
    </xf>
    <xf numFmtId="0" fontId="3" fillId="0" borderId="68" xfId="0" applyFont="1" applyBorder="1" applyAlignment="1">
      <alignment horizontal="center" vertical="center" wrapText="1"/>
    </xf>
    <xf numFmtId="0" fontId="0" fillId="0" borderId="68" xfId="0" applyFont="1" applyBorder="1" applyAlignment="1">
      <alignment/>
    </xf>
    <xf numFmtId="10" fontId="2" fillId="0" borderId="40" xfId="0" applyNumberFormat="1" applyFont="1" applyBorder="1" applyAlignment="1">
      <alignment vertical="center"/>
    </xf>
    <xf numFmtId="49" fontId="3" fillId="0" borderId="68" xfId="0" applyNumberFormat="1" applyFont="1" applyBorder="1" applyAlignment="1">
      <alignment horizontal="center" vertical="center"/>
    </xf>
    <xf numFmtId="3" fontId="2" fillId="0" borderId="68" xfId="0" applyNumberFormat="1" applyFont="1" applyBorder="1" applyAlignment="1">
      <alignment vertical="center"/>
    </xf>
    <xf numFmtId="3" fontId="7" fillId="0" borderId="68" xfId="0" applyNumberFormat="1" applyFont="1" applyBorder="1" applyAlignment="1">
      <alignment vertical="center"/>
    </xf>
    <xf numFmtId="0" fontId="1" fillId="0" borderId="0" xfId="101" applyFill="1">
      <alignment/>
      <protection/>
    </xf>
    <xf numFmtId="0" fontId="1" fillId="0" borderId="0" xfId="101" applyFill="1" applyAlignment="1">
      <alignment wrapText="1"/>
      <protection/>
    </xf>
    <xf numFmtId="0" fontId="61" fillId="0" borderId="0" xfId="101" applyFont="1" applyFill="1" applyBorder="1" applyAlignment="1" applyProtection="1">
      <alignment horizontal="center" vertical="center"/>
      <protection/>
    </xf>
    <xf numFmtId="0" fontId="43" fillId="0" borderId="30" xfId="101" applyFont="1" applyFill="1" applyBorder="1" applyAlignment="1" applyProtection="1">
      <alignment horizontal="center" vertical="center" wrapText="1"/>
      <protection/>
    </xf>
    <xf numFmtId="0" fontId="1" fillId="0" borderId="0" xfId="101" applyFill="1" applyAlignment="1">
      <alignment/>
      <protection/>
    </xf>
    <xf numFmtId="0" fontId="58" fillId="0" borderId="20" xfId="101" applyFont="1" applyBorder="1">
      <alignment/>
      <protection/>
    </xf>
    <xf numFmtId="0" fontId="51" fillId="0" borderId="0" xfId="101" applyFont="1" applyFill="1" applyAlignment="1">
      <alignment vertical="center"/>
      <protection/>
    </xf>
    <xf numFmtId="0" fontId="1" fillId="0" borderId="20" xfId="101" applyBorder="1">
      <alignment/>
      <protection/>
    </xf>
    <xf numFmtId="0" fontId="1" fillId="0" borderId="20" xfId="101" applyFont="1" applyBorder="1">
      <alignment/>
      <protection/>
    </xf>
    <xf numFmtId="0" fontId="58" fillId="0" borderId="31" xfId="101" applyFont="1" applyBorder="1">
      <alignment/>
      <protection/>
    </xf>
    <xf numFmtId="0" fontId="58" fillId="0" borderId="35" xfId="101" applyFont="1" applyBorder="1">
      <alignment/>
      <protection/>
    </xf>
    <xf numFmtId="0" fontId="58" fillId="0" borderId="30" xfId="101" applyFont="1" applyBorder="1" applyAlignment="1">
      <alignment vertical="center"/>
      <protection/>
    </xf>
    <xf numFmtId="0" fontId="1" fillId="0" borderId="0" xfId="101" applyFill="1" applyAlignment="1">
      <alignment vertical="center"/>
      <protection/>
    </xf>
    <xf numFmtId="0" fontId="58" fillId="0" borderId="33" xfId="101" applyFont="1" applyBorder="1">
      <alignment/>
      <protection/>
    </xf>
    <xf numFmtId="0" fontId="58" fillId="0" borderId="30" xfId="101" applyFont="1" applyFill="1" applyBorder="1" applyAlignment="1">
      <alignment vertical="center"/>
      <protection/>
    </xf>
    <xf numFmtId="0" fontId="58" fillId="0" borderId="55" xfId="101" applyFont="1" applyFill="1" applyBorder="1">
      <alignment/>
      <protection/>
    </xf>
    <xf numFmtId="0" fontId="58" fillId="0" borderId="0" xfId="101" applyFont="1" applyFill="1">
      <alignment/>
      <protection/>
    </xf>
    <xf numFmtId="0" fontId="58" fillId="0" borderId="0" xfId="101" applyFont="1" applyFill="1" applyAlignment="1">
      <alignment vertical="center"/>
      <protection/>
    </xf>
    <xf numFmtId="0" fontId="58" fillId="0" borderId="30" xfId="101" applyFont="1" applyFill="1" applyBorder="1">
      <alignment/>
      <protection/>
    </xf>
    <xf numFmtId="0" fontId="62" fillId="0" borderId="63" xfId="101" applyFont="1" applyBorder="1" applyAlignment="1">
      <alignment vertical="center"/>
      <protection/>
    </xf>
    <xf numFmtId="0" fontId="1" fillId="0" borderId="0" xfId="101" applyFill="1" applyAlignment="1" applyProtection="1">
      <alignment vertical="center"/>
      <protection/>
    </xf>
    <xf numFmtId="0" fontId="1" fillId="0" borderId="0" xfId="101" applyFont="1" applyFill="1">
      <alignment/>
      <protection/>
    </xf>
    <xf numFmtId="0" fontId="43" fillId="0" borderId="26" xfId="101" applyFont="1" applyFill="1" applyBorder="1" applyAlignment="1" applyProtection="1">
      <alignment horizontal="center" vertical="center" wrapText="1"/>
      <protection/>
    </xf>
    <xf numFmtId="3" fontId="58" fillId="0" borderId="42" xfId="101" applyNumberFormat="1" applyFont="1" applyBorder="1" applyAlignment="1">
      <alignment horizontal="right"/>
      <protection/>
    </xf>
    <xf numFmtId="3" fontId="1" fillId="0" borderId="22" xfId="101" applyNumberFormat="1" applyFont="1" applyBorder="1" applyAlignment="1">
      <alignment horizontal="right"/>
      <protection/>
    </xf>
    <xf numFmtId="3" fontId="58" fillId="0" borderId="22" xfId="101" applyNumberFormat="1" applyFont="1" applyBorder="1" applyAlignment="1">
      <alignment horizontal="right"/>
      <protection/>
    </xf>
    <xf numFmtId="3" fontId="58" fillId="0" borderId="26" xfId="101" applyNumberFormat="1" applyFont="1" applyBorder="1" applyAlignment="1">
      <alignment horizontal="right" vertical="center"/>
      <protection/>
    </xf>
    <xf numFmtId="3" fontId="58" fillId="0" borderId="26" xfId="101" applyNumberFormat="1" applyFont="1" applyFill="1" applyBorder="1" applyAlignment="1">
      <alignment vertical="center"/>
      <protection/>
    </xf>
    <xf numFmtId="3" fontId="58" fillId="0" borderId="42" xfId="101" applyNumberFormat="1" applyFont="1" applyFill="1" applyBorder="1">
      <alignment/>
      <protection/>
    </xf>
    <xf numFmtId="3" fontId="1" fillId="0" borderId="22" xfId="101" applyNumberFormat="1" applyFont="1" applyFill="1" applyBorder="1">
      <alignment/>
      <protection/>
    </xf>
    <xf numFmtId="3" fontId="58" fillId="0" borderId="26" xfId="101" applyNumberFormat="1" applyFont="1" applyFill="1" applyBorder="1">
      <alignment/>
      <protection/>
    </xf>
    <xf numFmtId="3" fontId="58" fillId="0" borderId="22" xfId="101" applyNumberFormat="1" applyFont="1" applyBorder="1">
      <alignment/>
      <protection/>
    </xf>
    <xf numFmtId="3" fontId="58" fillId="0" borderId="27" xfId="101" applyNumberFormat="1" applyFont="1" applyBorder="1">
      <alignment/>
      <protection/>
    </xf>
    <xf numFmtId="3" fontId="62" fillId="0" borderId="24" xfId="101" applyNumberFormat="1" applyFont="1" applyBorder="1" applyAlignment="1">
      <alignment vertical="center"/>
      <protection/>
    </xf>
    <xf numFmtId="169" fontId="46" fillId="0" borderId="56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41" xfId="0" applyFont="1" applyFill="1" applyBorder="1" applyAlignment="1" applyProtection="1">
      <alignment horizontal="center" vertical="center" wrapText="1"/>
      <protection/>
    </xf>
    <xf numFmtId="49" fontId="38" fillId="0" borderId="52" xfId="104" applyNumberFormat="1" applyFont="1" applyFill="1" applyBorder="1" applyAlignment="1" applyProtection="1">
      <alignment horizontal="left" vertical="center" wrapText="1" indent="1"/>
      <protection/>
    </xf>
    <xf numFmtId="169" fontId="38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79" xfId="0" applyNumberFormat="1" applyFont="1" applyBorder="1" applyAlignment="1">
      <alignment horizontal="left"/>
    </xf>
    <xf numFmtId="49" fontId="7" fillId="0" borderId="67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3" fillId="0" borderId="54" xfId="102" applyFont="1" applyBorder="1" applyAlignment="1">
      <alignment vertical="center" wrapText="1"/>
      <protection/>
    </xf>
    <xf numFmtId="49" fontId="7" fillId="0" borderId="63" xfId="0" applyNumberFormat="1" applyFont="1" applyBorder="1" applyAlignment="1">
      <alignment horizontal="left" vertical="center"/>
    </xf>
    <xf numFmtId="49" fontId="7" fillId="0" borderId="67" xfId="0" applyNumberFormat="1" applyFont="1" applyBorder="1" applyAlignment="1">
      <alignment horizontal="center" vertical="center"/>
    </xf>
    <xf numFmtId="49" fontId="7" fillId="0" borderId="67" xfId="0" applyNumberFormat="1" applyFont="1" applyBorder="1" applyAlignment="1">
      <alignment horizontal="left" vertical="center"/>
    </xf>
    <xf numFmtId="3" fontId="7" fillId="0" borderId="21" xfId="0" applyNumberFormat="1" applyFont="1" applyFill="1" applyBorder="1" applyAlignment="1">
      <alignment vertical="center"/>
    </xf>
    <xf numFmtId="0" fontId="58" fillId="0" borderId="20" xfId="101" applyFont="1" applyFill="1" applyBorder="1">
      <alignment/>
      <protection/>
    </xf>
    <xf numFmtId="3" fontId="58" fillId="0" borderId="22" xfId="101" applyNumberFormat="1" applyFont="1" applyFill="1" applyBorder="1">
      <alignment/>
      <protection/>
    </xf>
    <xf numFmtId="0" fontId="1" fillId="0" borderId="31" xfId="101" applyFont="1" applyFill="1" applyBorder="1">
      <alignment/>
      <protection/>
    </xf>
    <xf numFmtId="0" fontId="58" fillId="0" borderId="63" xfId="101" applyFont="1" applyFill="1" applyBorder="1">
      <alignment/>
      <protection/>
    </xf>
    <xf numFmtId="3" fontId="58" fillId="0" borderId="24" xfId="101" applyNumberFormat="1" applyFont="1" applyFill="1" applyBorder="1">
      <alignment/>
      <protection/>
    </xf>
    <xf numFmtId="3" fontId="58" fillId="0" borderId="24" xfId="101" applyNumberFormat="1" applyFont="1" applyBorder="1" applyAlignment="1">
      <alignment horizontal="right"/>
      <protection/>
    </xf>
    <xf numFmtId="0" fontId="15" fillId="0" borderId="20" xfId="102" applyFont="1" applyFill="1" applyBorder="1" applyAlignment="1">
      <alignment horizontal="right" wrapText="1"/>
      <protection/>
    </xf>
    <xf numFmtId="0" fontId="63" fillId="0" borderId="0" xfId="102" applyFont="1" applyAlignment="1">
      <alignment horizontal="right"/>
      <protection/>
    </xf>
    <xf numFmtId="0" fontId="64" fillId="0" borderId="0" xfId="102" applyFont="1" applyAlignment="1">
      <alignment horizontal="center"/>
      <protection/>
    </xf>
    <xf numFmtId="0" fontId="65" fillId="0" borderId="0" xfId="102" applyFont="1" applyAlignment="1">
      <alignment horizontal="center"/>
      <protection/>
    </xf>
    <xf numFmtId="0" fontId="19" fillId="0" borderId="0" xfId="102" applyFont="1" applyAlignment="1">
      <alignment horizontal="center"/>
      <protection/>
    </xf>
    <xf numFmtId="0" fontId="19" fillId="0" borderId="0" xfId="103">
      <alignment/>
      <protection/>
    </xf>
    <xf numFmtId="0" fontId="63" fillId="0" borderId="0" xfId="102" applyFont="1">
      <alignment/>
      <protection/>
    </xf>
    <xf numFmtId="3" fontId="11" fillId="0" borderId="0" xfId="102" applyNumberFormat="1">
      <alignment/>
      <protection/>
    </xf>
    <xf numFmtId="0" fontId="13" fillId="0" borderId="39" xfId="102" applyFont="1" applyBorder="1" applyAlignment="1">
      <alignment horizontal="center" vertical="center" wrapText="1"/>
      <protection/>
    </xf>
    <xf numFmtId="0" fontId="11" fillId="0" borderId="55" xfId="102" applyBorder="1" applyAlignment="1">
      <alignment vertical="center" wrapText="1"/>
      <protection/>
    </xf>
    <xf numFmtId="0" fontId="11" fillId="0" borderId="0" xfId="102" applyAlignment="1">
      <alignment vertical="center" wrapText="1"/>
      <protection/>
    </xf>
    <xf numFmtId="168" fontId="66" fillId="0" borderId="68" xfId="103" applyNumberFormat="1" applyFont="1" applyBorder="1" applyAlignment="1">
      <alignment horizontal="center" vertical="center" wrapText="1"/>
      <protection/>
    </xf>
    <xf numFmtId="3" fontId="66" fillId="0" borderId="48" xfId="103" applyNumberFormat="1" applyFont="1" applyBorder="1" applyAlignment="1">
      <alignment horizontal="center" vertical="center" wrapText="1"/>
      <protection/>
    </xf>
    <xf numFmtId="3" fontId="66" fillId="0" borderId="38" xfId="103" applyNumberFormat="1" applyFont="1" applyBorder="1" applyAlignment="1">
      <alignment horizontal="center" vertical="center" wrapText="1"/>
      <protection/>
    </xf>
    <xf numFmtId="3" fontId="66" fillId="0" borderId="56" xfId="103" applyNumberFormat="1" applyFont="1" applyBorder="1" applyAlignment="1">
      <alignment horizontal="center" vertical="center" wrapText="1"/>
      <protection/>
    </xf>
    <xf numFmtId="3" fontId="68" fillId="0" borderId="19" xfId="103" applyNumberFormat="1" applyFont="1" applyFill="1" applyBorder="1" applyAlignment="1">
      <alignment vertical="top"/>
      <protection/>
    </xf>
    <xf numFmtId="3" fontId="68" fillId="0" borderId="43" xfId="103" applyNumberFormat="1" applyFont="1" applyFill="1" applyBorder="1" applyAlignment="1">
      <alignment vertical="top"/>
      <protection/>
    </xf>
    <xf numFmtId="10" fontId="68" fillId="0" borderId="44" xfId="103" applyNumberFormat="1" applyFont="1" applyFill="1" applyBorder="1" applyAlignment="1">
      <alignment vertical="top"/>
      <protection/>
    </xf>
    <xf numFmtId="3" fontId="68" fillId="0" borderId="44" xfId="103" applyNumberFormat="1" applyFont="1" applyFill="1" applyBorder="1" applyAlignment="1">
      <alignment vertical="top"/>
      <protection/>
    </xf>
    <xf numFmtId="0" fontId="67" fillId="0" borderId="32" xfId="103" applyFont="1" applyFill="1" applyBorder="1" applyAlignment="1">
      <alignment horizontal="left"/>
      <protection/>
    </xf>
    <xf numFmtId="3" fontId="68" fillId="0" borderId="20" xfId="103" applyNumberFormat="1" applyFont="1" applyFill="1" applyBorder="1" applyAlignment="1">
      <alignment vertical="top"/>
      <protection/>
    </xf>
    <xf numFmtId="3" fontId="68" fillId="0" borderId="22" xfId="103" applyNumberFormat="1" applyFont="1" applyFill="1" applyBorder="1" applyAlignment="1">
      <alignment vertical="top"/>
      <protection/>
    </xf>
    <xf numFmtId="10" fontId="68" fillId="0" borderId="23" xfId="103" applyNumberFormat="1" applyFont="1" applyFill="1" applyBorder="1" applyAlignment="1">
      <alignment vertical="top"/>
      <protection/>
    </xf>
    <xf numFmtId="3" fontId="68" fillId="0" borderId="23" xfId="103" applyNumberFormat="1" applyFont="1" applyFill="1" applyBorder="1" applyAlignment="1">
      <alignment vertical="top"/>
      <protection/>
    </xf>
    <xf numFmtId="3" fontId="68" fillId="0" borderId="20" xfId="103" applyNumberFormat="1" applyFont="1" applyFill="1" applyBorder="1">
      <alignment/>
      <protection/>
    </xf>
    <xf numFmtId="3" fontId="68" fillId="0" borderId="22" xfId="103" applyNumberFormat="1" applyFont="1" applyFill="1" applyBorder="1">
      <alignment/>
      <protection/>
    </xf>
    <xf numFmtId="3" fontId="68" fillId="0" borderId="23" xfId="103" applyNumberFormat="1" applyFont="1" applyFill="1" applyBorder="1">
      <alignment/>
      <protection/>
    </xf>
    <xf numFmtId="0" fontId="11" fillId="0" borderId="21" xfId="102" applyFont="1" applyBorder="1" applyAlignment="1">
      <alignment horizontal="center" vertical="center"/>
      <protection/>
    </xf>
    <xf numFmtId="3" fontId="68" fillId="0" borderId="21" xfId="103" applyNumberFormat="1" applyFont="1" applyFill="1" applyBorder="1">
      <alignment/>
      <protection/>
    </xf>
    <xf numFmtId="3" fontId="68" fillId="0" borderId="24" xfId="103" applyNumberFormat="1" applyFont="1" applyFill="1" applyBorder="1">
      <alignment/>
      <protection/>
    </xf>
    <xf numFmtId="3" fontId="68" fillId="0" borderId="49" xfId="103" applyNumberFormat="1" applyFont="1" applyFill="1" applyBorder="1">
      <alignment/>
      <protection/>
    </xf>
    <xf numFmtId="0" fontId="11" fillId="0" borderId="39" xfId="102" applyFont="1" applyBorder="1" applyAlignment="1">
      <alignment horizontal="center" vertical="center"/>
      <protection/>
    </xf>
    <xf numFmtId="3" fontId="69" fillId="0" borderId="39" xfId="103" applyNumberFormat="1" applyFont="1" applyBorder="1" applyAlignment="1">
      <alignment vertical="center"/>
      <protection/>
    </xf>
    <xf numFmtId="3" fontId="69" fillId="0" borderId="26" xfId="103" applyNumberFormat="1" applyFont="1" applyBorder="1" applyAlignment="1">
      <alignment vertical="center"/>
      <protection/>
    </xf>
    <xf numFmtId="10" fontId="69" fillId="0" borderId="40" xfId="103" applyNumberFormat="1" applyFont="1" applyBorder="1" applyAlignment="1">
      <alignment vertical="center"/>
      <protection/>
    </xf>
    <xf numFmtId="3" fontId="17" fillId="0" borderId="0" xfId="102" applyNumberFormat="1" applyFont="1" applyAlignment="1">
      <alignment horizontal="right" vertical="center"/>
      <protection/>
    </xf>
    <xf numFmtId="0" fontId="71" fillId="0" borderId="0" xfId="102" applyFont="1" applyAlignment="1">
      <alignment vertical="center"/>
      <protection/>
    </xf>
    <xf numFmtId="0" fontId="72" fillId="0" borderId="55" xfId="102" applyFont="1" applyBorder="1" applyAlignment="1">
      <alignment vertical="center"/>
      <protection/>
    </xf>
    <xf numFmtId="0" fontId="23" fillId="50" borderId="52" xfId="102" applyFont="1" applyFill="1" applyBorder="1" applyAlignment="1">
      <alignment horizontal="center" vertical="center" wrapText="1"/>
      <protection/>
    </xf>
    <xf numFmtId="0" fontId="11" fillId="0" borderId="55" xfId="102" applyBorder="1" applyAlignment="1">
      <alignment vertical="center"/>
      <protection/>
    </xf>
    <xf numFmtId="0" fontId="23" fillId="50" borderId="35" xfId="102" applyFont="1" applyFill="1" applyBorder="1" applyAlignment="1">
      <alignment horizontal="center" vertical="center" wrapText="1"/>
      <protection/>
    </xf>
    <xf numFmtId="3" fontId="23" fillId="50" borderId="80" xfId="102" applyNumberFormat="1" applyFont="1" applyFill="1" applyBorder="1" applyAlignment="1">
      <alignment horizontal="center" vertical="center" wrapText="1"/>
      <protection/>
    </xf>
    <xf numFmtId="3" fontId="23" fillId="50" borderId="81" xfId="102" applyNumberFormat="1" applyFont="1" applyFill="1" applyBorder="1" applyAlignment="1">
      <alignment horizontal="center" vertical="center" wrapText="1"/>
      <protection/>
    </xf>
    <xf numFmtId="3" fontId="23" fillId="50" borderId="82" xfId="102" applyNumberFormat="1" applyFont="1" applyFill="1" applyBorder="1" applyAlignment="1">
      <alignment horizontal="center" vertical="center" wrapText="1"/>
      <protection/>
    </xf>
    <xf numFmtId="0" fontId="67" fillId="0" borderId="31" xfId="0" applyFont="1" applyBorder="1" applyAlignment="1">
      <alignment vertical="center" wrapText="1"/>
    </xf>
    <xf numFmtId="0" fontId="67" fillId="0" borderId="22" xfId="0" applyFont="1" applyBorder="1" applyAlignment="1">
      <alignment horizontal="center" vertical="center" wrapText="1"/>
    </xf>
    <xf numFmtId="3" fontId="30" fillId="0" borderId="22" xfId="102" applyNumberFormat="1" applyFont="1" applyBorder="1" applyAlignment="1">
      <alignment horizontal="right" vertical="center" wrapText="1"/>
      <protection/>
    </xf>
    <xf numFmtId="3" fontId="30" fillId="0" borderId="42" xfId="102" applyNumberFormat="1" applyFont="1" applyBorder="1" applyAlignment="1">
      <alignment horizontal="right" vertical="center" wrapText="1"/>
      <protection/>
    </xf>
    <xf numFmtId="10" fontId="30" fillId="0" borderId="42" xfId="102" applyNumberFormat="1" applyFont="1" applyBorder="1" applyAlignment="1">
      <alignment horizontal="right" vertical="center" wrapText="1"/>
      <protection/>
    </xf>
    <xf numFmtId="10" fontId="30" fillId="0" borderId="22" xfId="102" applyNumberFormat="1" applyFont="1" applyBorder="1" applyAlignment="1">
      <alignment horizontal="right" vertical="center" wrapText="1"/>
      <protection/>
    </xf>
    <xf numFmtId="10" fontId="30" fillId="0" borderId="23" xfId="102" applyNumberFormat="1" applyFont="1" applyBorder="1" applyAlignment="1">
      <alignment horizontal="right" vertical="center" wrapText="1"/>
      <protection/>
    </xf>
    <xf numFmtId="3" fontId="30" fillId="0" borderId="22" xfId="102" applyNumberFormat="1" applyFont="1" applyFill="1" applyBorder="1" applyAlignment="1">
      <alignment vertical="center"/>
      <protection/>
    </xf>
    <xf numFmtId="3" fontId="23" fillId="50" borderId="83" xfId="102" applyNumberFormat="1" applyFont="1" applyFill="1" applyBorder="1" applyAlignment="1">
      <alignment horizontal="center" vertical="center" wrapText="1"/>
      <protection/>
    </xf>
    <xf numFmtId="3" fontId="23" fillId="50" borderId="84" xfId="102" applyNumberFormat="1" applyFont="1" applyFill="1" applyBorder="1" applyAlignment="1">
      <alignment horizontal="center" vertical="center" wrapText="1"/>
      <protection/>
    </xf>
    <xf numFmtId="3" fontId="31" fillId="50" borderId="84" xfId="102" applyNumberFormat="1" applyFont="1" applyFill="1" applyBorder="1" applyAlignment="1">
      <alignment horizontal="right" vertical="center" wrapText="1"/>
      <protection/>
    </xf>
    <xf numFmtId="10" fontId="31" fillId="50" borderId="84" xfId="102" applyNumberFormat="1" applyFont="1" applyFill="1" applyBorder="1" applyAlignment="1">
      <alignment horizontal="right" vertical="center" wrapText="1"/>
      <protection/>
    </xf>
    <xf numFmtId="3" fontId="23" fillId="0" borderId="0" xfId="102" applyNumberFormat="1" applyFont="1" applyFill="1" applyBorder="1" applyAlignment="1">
      <alignment horizontal="center" vertical="center" wrapText="1"/>
      <protection/>
    </xf>
    <xf numFmtId="3" fontId="31" fillId="0" borderId="0" xfId="102" applyNumberFormat="1" applyFont="1" applyFill="1" applyBorder="1" applyAlignment="1">
      <alignment horizontal="right" vertical="center" wrapText="1"/>
      <protection/>
    </xf>
    <xf numFmtId="0" fontId="72" fillId="0" borderId="0" xfId="102" applyFont="1" applyAlignment="1">
      <alignment vertical="center"/>
      <protection/>
    </xf>
    <xf numFmtId="0" fontId="11" fillId="0" borderId="55" xfId="102" applyFill="1" applyBorder="1" applyAlignment="1">
      <alignment vertical="center"/>
      <protection/>
    </xf>
    <xf numFmtId="0" fontId="11" fillId="0" borderId="0" xfId="102" applyFill="1" applyAlignment="1">
      <alignment vertical="center"/>
      <protection/>
    </xf>
    <xf numFmtId="0" fontId="23" fillId="50" borderId="85" xfId="102" applyFont="1" applyFill="1" applyBorder="1" applyAlignment="1">
      <alignment horizontal="center" vertical="center" wrapText="1"/>
      <protection/>
    </xf>
    <xf numFmtId="0" fontId="23" fillId="50" borderId="81" xfId="102" applyFont="1" applyFill="1" applyBorder="1" applyAlignment="1">
      <alignment horizontal="center" vertical="center" wrapText="1"/>
      <protection/>
    </xf>
    <xf numFmtId="0" fontId="67" fillId="0" borderId="33" xfId="0" applyFont="1" applyFill="1" applyBorder="1" applyAlignment="1">
      <alignment vertical="center" wrapText="1"/>
    </xf>
    <xf numFmtId="0" fontId="67" fillId="0" borderId="42" xfId="0" applyFont="1" applyFill="1" applyBorder="1" applyAlignment="1">
      <alignment horizontal="center" vertical="center" wrapText="1"/>
    </xf>
    <xf numFmtId="3" fontId="30" fillId="0" borderId="42" xfId="102" applyNumberFormat="1" applyFont="1" applyFill="1" applyBorder="1" applyAlignment="1">
      <alignment horizontal="right" vertical="center" wrapText="1"/>
      <protection/>
    </xf>
    <xf numFmtId="3" fontId="30" fillId="0" borderId="22" xfId="102" applyNumberFormat="1" applyFont="1" applyFill="1" applyBorder="1" applyAlignment="1">
      <alignment horizontal="right" vertical="center" wrapText="1"/>
      <protection/>
    </xf>
    <xf numFmtId="0" fontId="67" fillId="0" borderId="31" xfId="0" applyFont="1" applyFill="1" applyBorder="1" applyAlignment="1">
      <alignment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67" fillId="0" borderId="86" xfId="0" applyFont="1" applyFill="1" applyBorder="1" applyAlignment="1">
      <alignment vertical="center" wrapText="1"/>
    </xf>
    <xf numFmtId="0" fontId="67" fillId="0" borderId="27" xfId="0" applyFont="1" applyFill="1" applyBorder="1" applyAlignment="1">
      <alignment horizontal="center" vertical="center" wrapText="1"/>
    </xf>
    <xf numFmtId="3" fontId="30" fillId="0" borderId="27" xfId="102" applyNumberFormat="1" applyFont="1" applyFill="1" applyBorder="1" applyAlignment="1">
      <alignment horizontal="right" vertical="center" wrapText="1"/>
      <protection/>
    </xf>
    <xf numFmtId="0" fontId="67" fillId="0" borderId="55" xfId="0" applyFont="1" applyFill="1" applyBorder="1" applyAlignment="1">
      <alignment vertical="center" wrapText="1"/>
    </xf>
    <xf numFmtId="0" fontId="67" fillId="0" borderId="52" xfId="0" applyFont="1" applyFill="1" applyBorder="1" applyAlignment="1">
      <alignment horizontal="center" vertical="center" wrapText="1"/>
    </xf>
    <xf numFmtId="3" fontId="30" fillId="0" borderId="52" xfId="102" applyNumberFormat="1" applyFont="1" applyFill="1" applyBorder="1" applyAlignment="1">
      <alignment horizontal="right" vertical="center" wrapText="1"/>
      <protection/>
    </xf>
    <xf numFmtId="10" fontId="11" fillId="0" borderId="0" xfId="102" applyNumberFormat="1" applyAlignment="1">
      <alignment vertical="center"/>
      <protection/>
    </xf>
    <xf numFmtId="0" fontId="27" fillId="0" borderId="0" xfId="104" applyFont="1" applyFill="1" applyAlignment="1">
      <alignment vertical="center"/>
      <protection/>
    </xf>
    <xf numFmtId="169" fontId="25" fillId="0" borderId="0" xfId="104" applyNumberFormat="1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9" fillId="0" borderId="19" xfId="104" applyFont="1" applyFill="1" applyBorder="1" applyAlignment="1" applyProtection="1">
      <alignment horizontal="center" vertical="center" wrapText="1"/>
      <protection/>
    </xf>
    <xf numFmtId="0" fontId="39" fillId="0" borderId="43" xfId="104" applyFont="1" applyFill="1" applyBorder="1" applyAlignment="1" applyProtection="1">
      <alignment horizontal="center" vertical="center" wrapText="1"/>
      <protection/>
    </xf>
    <xf numFmtId="0" fontId="39" fillId="0" borderId="44" xfId="104" applyFont="1" applyFill="1" applyBorder="1" applyAlignment="1" applyProtection="1">
      <alignment horizontal="center" vertical="center" wrapText="1"/>
      <protection/>
    </xf>
    <xf numFmtId="0" fontId="28" fillId="0" borderId="39" xfId="104" applyFont="1" applyFill="1" applyBorder="1" applyAlignment="1" applyProtection="1">
      <alignment horizontal="center" vertical="center"/>
      <protection/>
    </xf>
    <xf numFmtId="0" fontId="28" fillId="0" borderId="26" xfId="104" applyFont="1" applyFill="1" applyBorder="1" applyAlignment="1" applyProtection="1">
      <alignment horizontal="center" vertical="center"/>
      <protection/>
    </xf>
    <xf numFmtId="0" fontId="28" fillId="0" borderId="40" xfId="104" applyFont="1" applyFill="1" applyBorder="1" applyAlignment="1" applyProtection="1">
      <alignment horizontal="center" vertical="center"/>
      <protection/>
    </xf>
    <xf numFmtId="0" fontId="28" fillId="0" borderId="19" xfId="104" applyFont="1" applyFill="1" applyBorder="1" applyAlignment="1" applyProtection="1">
      <alignment horizontal="center" vertical="center"/>
      <protection/>
    </xf>
    <xf numFmtId="0" fontId="28" fillId="0" borderId="42" xfId="104" applyFont="1" applyFill="1" applyBorder="1" applyAlignment="1" applyProtection="1">
      <alignment vertical="center"/>
      <protection/>
    </xf>
    <xf numFmtId="170" fontId="28" fillId="0" borderId="44" xfId="68" applyNumberFormat="1" applyFont="1" applyFill="1" applyBorder="1" applyAlignment="1" applyProtection="1">
      <alignment vertical="center"/>
      <protection locked="0"/>
    </xf>
    <xf numFmtId="0" fontId="28" fillId="0" borderId="25" xfId="104" applyFont="1" applyFill="1" applyBorder="1" applyAlignment="1" applyProtection="1">
      <alignment horizontal="center" vertical="center"/>
      <protection/>
    </xf>
    <xf numFmtId="170" fontId="28" fillId="0" borderId="58" xfId="68" applyNumberFormat="1" applyFont="1" applyFill="1" applyBorder="1" applyAlignment="1" applyProtection="1">
      <alignment vertical="center"/>
      <protection locked="0"/>
    </xf>
    <xf numFmtId="0" fontId="28" fillId="0" borderId="20" xfId="104" applyFont="1" applyFill="1" applyBorder="1" applyAlignment="1" applyProtection="1">
      <alignment horizontal="center" vertical="center"/>
      <protection/>
    </xf>
    <xf numFmtId="0" fontId="68" fillId="0" borderId="22" xfId="0" applyFont="1" applyFill="1" applyBorder="1" applyAlignment="1">
      <alignment horizontal="justify" vertical="center" wrapText="1"/>
    </xf>
    <xf numFmtId="170" fontId="28" fillId="0" borderId="23" xfId="68" applyNumberFormat="1" applyFont="1" applyFill="1" applyBorder="1" applyAlignment="1" applyProtection="1">
      <alignment vertical="center"/>
      <protection locked="0"/>
    </xf>
    <xf numFmtId="0" fontId="68" fillId="0" borderId="22" xfId="0" applyFont="1" applyFill="1" applyBorder="1" applyAlignment="1">
      <alignment vertical="center" wrapText="1"/>
    </xf>
    <xf numFmtId="170" fontId="28" fillId="0" borderId="59" xfId="68" applyNumberFormat="1" applyFont="1" applyFill="1" applyBorder="1" applyAlignment="1" applyProtection="1">
      <alignment vertical="center"/>
      <protection locked="0"/>
    </xf>
    <xf numFmtId="170" fontId="39" fillId="0" borderId="40" xfId="68" applyNumberFormat="1" applyFont="1" applyFill="1" applyBorder="1" applyAlignment="1" applyProtection="1">
      <alignment vertical="center"/>
      <protection/>
    </xf>
    <xf numFmtId="0" fontId="38" fillId="0" borderId="0" xfId="104" applyFont="1" applyFill="1" applyBorder="1" applyAlignment="1">
      <alignment horizontal="justify" vertical="center" wrapText="1"/>
      <protection/>
    </xf>
    <xf numFmtId="169" fontId="9" fillId="0" borderId="0" xfId="0" applyNumberFormat="1" applyFont="1" applyFill="1" applyAlignment="1">
      <alignment horizontal="left" vertical="center" wrapText="1"/>
    </xf>
    <xf numFmtId="10" fontId="3" fillId="0" borderId="26" xfId="0" applyNumberFormat="1" applyFont="1" applyFill="1" applyBorder="1" applyAlignment="1">
      <alignment vertical="center"/>
    </xf>
    <xf numFmtId="10" fontId="7" fillId="0" borderId="42" xfId="0" applyNumberFormat="1" applyFont="1" applyFill="1" applyBorder="1" applyAlignment="1">
      <alignment vertical="center"/>
    </xf>
    <xf numFmtId="10" fontId="3" fillId="0" borderId="26" xfId="0" applyNumberFormat="1" applyFont="1" applyBorder="1" applyAlignment="1">
      <alignment vertical="center"/>
    </xf>
    <xf numFmtId="10" fontId="32" fillId="0" borderId="26" xfId="0" applyNumberFormat="1" applyFont="1" applyFill="1" applyBorder="1" applyAlignment="1">
      <alignment vertical="center"/>
    </xf>
    <xf numFmtId="10" fontId="7" fillId="0" borderId="27" xfId="0" applyNumberFormat="1" applyFont="1" applyBorder="1" applyAlignment="1">
      <alignment vertical="center"/>
    </xf>
    <xf numFmtId="10" fontId="7" fillId="0" borderId="23" xfId="0" applyNumberFormat="1" applyFont="1" applyFill="1" applyBorder="1" applyAlignment="1">
      <alignment horizontal="right" vertical="center"/>
    </xf>
    <xf numFmtId="10" fontId="7" fillId="0" borderId="49" xfId="0" applyNumberFormat="1" applyFont="1" applyFill="1" applyBorder="1" applyAlignment="1">
      <alignment horizontal="right" vertical="center"/>
    </xf>
    <xf numFmtId="10" fontId="46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0" fontId="3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0" fontId="3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0" fontId="38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0" fontId="38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3" fontId="3" fillId="49" borderId="40" xfId="0" applyNumberFormat="1" applyFont="1" applyFill="1" applyBorder="1" applyAlignment="1">
      <alignment horizontal="right" vertical="center" wrapText="1"/>
    </xf>
    <xf numFmtId="10" fontId="3" fillId="49" borderId="40" xfId="0" applyNumberFormat="1" applyFont="1" applyFill="1" applyBorder="1" applyAlignment="1">
      <alignment horizontal="right" vertical="center" wrapText="1"/>
    </xf>
    <xf numFmtId="10" fontId="7" fillId="49" borderId="44" xfId="0" applyNumberFormat="1" applyFont="1" applyFill="1" applyBorder="1" applyAlignment="1">
      <alignment horizontal="right" vertical="center" wrapText="1"/>
    </xf>
    <xf numFmtId="10" fontId="7" fillId="49" borderId="23" xfId="0" applyNumberFormat="1" applyFont="1" applyFill="1" applyBorder="1" applyAlignment="1">
      <alignment horizontal="right" vertical="center" wrapText="1"/>
    </xf>
    <xf numFmtId="10" fontId="7" fillId="0" borderId="23" xfId="0" applyNumberFormat="1" applyFont="1" applyFill="1" applyBorder="1" applyAlignment="1">
      <alignment horizontal="right" vertical="center" wrapText="1"/>
    </xf>
    <xf numFmtId="10" fontId="7" fillId="0" borderId="49" xfId="0" applyNumberFormat="1" applyFont="1" applyFill="1" applyBorder="1" applyAlignment="1">
      <alignment horizontal="right" vertical="center" wrapText="1"/>
    </xf>
    <xf numFmtId="10" fontId="7" fillId="0" borderId="58" xfId="0" applyNumberFormat="1" applyFont="1" applyFill="1" applyBorder="1" applyAlignment="1">
      <alignment horizontal="right" vertical="center" wrapText="1"/>
    </xf>
    <xf numFmtId="10" fontId="3" fillId="0" borderId="40" xfId="0" applyNumberFormat="1" applyFont="1" applyFill="1" applyBorder="1" applyAlignment="1">
      <alignment horizontal="right" vertical="center"/>
    </xf>
    <xf numFmtId="10" fontId="3" fillId="0" borderId="44" xfId="0" applyNumberFormat="1" applyFont="1" applyFill="1" applyBorder="1" applyAlignment="1">
      <alignment horizontal="right" vertical="center"/>
    </xf>
    <xf numFmtId="10" fontId="3" fillId="0" borderId="23" xfId="0" applyNumberFormat="1" applyFont="1" applyFill="1" applyBorder="1" applyAlignment="1">
      <alignment horizontal="right" vertical="center"/>
    </xf>
    <xf numFmtId="10" fontId="3" fillId="0" borderId="49" xfId="0" applyNumberFormat="1" applyFont="1" applyFill="1" applyBorder="1" applyAlignment="1">
      <alignment horizontal="right" vertical="center"/>
    </xf>
    <xf numFmtId="10" fontId="7" fillId="0" borderId="58" xfId="0" applyNumberFormat="1" applyFont="1" applyFill="1" applyBorder="1" applyAlignment="1">
      <alignment horizontal="right" vertical="center"/>
    </xf>
    <xf numFmtId="10" fontId="3" fillId="0" borderId="23" xfId="0" applyNumberFormat="1" applyFont="1" applyFill="1" applyBorder="1" applyAlignment="1">
      <alignment vertical="center"/>
    </xf>
    <xf numFmtId="10" fontId="3" fillId="0" borderId="40" xfId="0" applyNumberFormat="1" applyFont="1" applyFill="1" applyBorder="1" applyAlignment="1">
      <alignment vertical="center"/>
    </xf>
    <xf numFmtId="10" fontId="3" fillId="0" borderId="58" xfId="0" applyNumberFormat="1" applyFont="1" applyFill="1" applyBorder="1" applyAlignment="1">
      <alignment vertical="center"/>
    </xf>
    <xf numFmtId="10" fontId="7" fillId="0" borderId="59" xfId="0" applyNumberFormat="1" applyFont="1" applyFill="1" applyBorder="1" applyAlignment="1">
      <alignment vertical="center"/>
    </xf>
    <xf numFmtId="10" fontId="7" fillId="0" borderId="23" xfId="0" applyNumberFormat="1" applyFont="1" applyFill="1" applyBorder="1" applyAlignment="1">
      <alignment vertical="center"/>
    </xf>
    <xf numFmtId="10" fontId="3" fillId="0" borderId="40" xfId="0" applyNumberFormat="1" applyFont="1" applyBorder="1" applyAlignment="1">
      <alignment vertical="center"/>
    </xf>
    <xf numFmtId="10" fontId="3" fillId="0" borderId="50" xfId="0" applyNumberFormat="1" applyFont="1" applyFill="1" applyBorder="1" applyAlignment="1">
      <alignment horizontal="centerContinuous" vertical="center" wrapText="1"/>
    </xf>
    <xf numFmtId="10" fontId="7" fillId="0" borderId="58" xfId="0" applyNumberFormat="1" applyFont="1" applyFill="1" applyBorder="1" applyAlignment="1">
      <alignment vertical="center"/>
    </xf>
    <xf numFmtId="10" fontId="32" fillId="0" borderId="40" xfId="0" applyNumberFormat="1" applyFont="1" applyFill="1" applyBorder="1" applyAlignment="1">
      <alignment vertical="center"/>
    </xf>
    <xf numFmtId="0" fontId="4" fillId="0" borderId="41" xfId="0" applyFont="1" applyBorder="1" applyAlignment="1">
      <alignment vertical="center"/>
    </xf>
    <xf numFmtId="10" fontId="7" fillId="0" borderId="59" xfId="0" applyNumberFormat="1" applyFont="1" applyBorder="1" applyAlignment="1">
      <alignment vertical="center"/>
    </xf>
    <xf numFmtId="10" fontId="3" fillId="0" borderId="56" xfId="0" applyNumberFormat="1" applyFont="1" applyBorder="1" applyAlignment="1">
      <alignment vertical="center"/>
    </xf>
    <xf numFmtId="169" fontId="38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8" xfId="0" applyFill="1" applyBorder="1" applyAlignment="1" applyProtection="1">
      <alignment horizontal="right" vertical="center" wrapText="1" indent="1"/>
      <protection/>
    </xf>
    <xf numFmtId="10" fontId="3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9" fontId="42" fillId="0" borderId="89" xfId="0" applyNumberFormat="1" applyFont="1" applyFill="1" applyBorder="1" applyAlignment="1" applyProtection="1">
      <alignment horizontal="center" vertical="center" wrapText="1"/>
      <protection/>
    </xf>
    <xf numFmtId="169" fontId="38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92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8" xfId="0" applyFont="1" applyFill="1" applyBorder="1" applyAlignment="1" applyProtection="1">
      <alignment horizontal="right" vertical="center" wrapText="1" indent="1"/>
      <protection/>
    </xf>
    <xf numFmtId="169" fontId="42" fillId="0" borderId="60" xfId="0" applyNumberFormat="1" applyFont="1" applyFill="1" applyBorder="1" applyAlignment="1" applyProtection="1">
      <alignment horizontal="center" vertical="center" wrapText="1"/>
      <protection/>
    </xf>
    <xf numFmtId="3" fontId="12" fillId="0" borderId="26" xfId="102" applyNumberFormat="1" applyFont="1" applyFill="1" applyBorder="1" applyAlignment="1">
      <alignment horizontal="right" vertical="center"/>
      <protection/>
    </xf>
    <xf numFmtId="10" fontId="12" fillId="0" borderId="40" xfId="102" applyNumberFormat="1" applyFont="1" applyFill="1" applyBorder="1" applyAlignment="1">
      <alignment horizontal="right" vertical="center"/>
      <protection/>
    </xf>
    <xf numFmtId="3" fontId="15" fillId="0" borderId="22" xfId="102" applyNumberFormat="1" applyFont="1" applyFill="1" applyBorder="1" applyAlignment="1">
      <alignment vertical="center"/>
      <protection/>
    </xf>
    <xf numFmtId="0" fontId="0" fillId="0" borderId="72" xfId="102" applyFont="1" applyFill="1" applyBorder="1" applyAlignment="1">
      <alignment horizontal="center" vertical="center"/>
      <protection/>
    </xf>
    <xf numFmtId="0" fontId="0" fillId="0" borderId="66" xfId="102" applyFont="1" applyFill="1" applyBorder="1" applyAlignment="1">
      <alignment horizontal="center" vertical="center"/>
      <protection/>
    </xf>
    <xf numFmtId="3" fontId="7" fillId="0" borderId="19" xfId="102" applyNumberFormat="1" applyFont="1" applyFill="1" applyBorder="1" applyAlignment="1">
      <alignment horizontal="right" vertical="center"/>
      <protection/>
    </xf>
    <xf numFmtId="3" fontId="7" fillId="0" borderId="20" xfId="102" applyNumberFormat="1" applyFont="1" applyFill="1" applyBorder="1" applyAlignment="1">
      <alignment horizontal="right" vertical="center"/>
      <protection/>
    </xf>
    <xf numFmtId="10" fontId="68" fillId="0" borderId="49" xfId="103" applyNumberFormat="1" applyFont="1" applyFill="1" applyBorder="1" applyAlignment="1">
      <alignment vertical="top"/>
      <protection/>
    </xf>
    <xf numFmtId="10" fontId="34" fillId="0" borderId="66" xfId="102" applyNumberFormat="1" applyFont="1" applyFill="1" applyBorder="1" applyAlignment="1">
      <alignment horizontal="right"/>
      <protection/>
    </xf>
    <xf numFmtId="0" fontId="11" fillId="0" borderId="0" xfId="102" applyFont="1" applyBorder="1">
      <alignment/>
      <protection/>
    </xf>
    <xf numFmtId="3" fontId="18" fillId="0" borderId="93" xfId="102" applyNumberFormat="1" applyFont="1" applyBorder="1" applyAlignment="1">
      <alignment horizontal="right"/>
      <protection/>
    </xf>
    <xf numFmtId="3" fontId="18" fillId="0" borderId="94" xfId="102" applyNumberFormat="1" applyFont="1" applyBorder="1" applyAlignment="1">
      <alignment horizontal="right"/>
      <protection/>
    </xf>
    <xf numFmtId="10" fontId="18" fillId="0" borderId="49" xfId="102" applyNumberFormat="1" applyFont="1" applyFill="1" applyBorder="1" applyAlignment="1">
      <alignment horizontal="right"/>
      <protection/>
    </xf>
    <xf numFmtId="3" fontId="28" fillId="0" borderId="0" xfId="105" applyNumberFormat="1" applyFill="1" applyProtection="1">
      <alignment/>
      <protection/>
    </xf>
    <xf numFmtId="3" fontId="28" fillId="0" borderId="0" xfId="105" applyNumberFormat="1" applyFill="1" applyAlignment="1" applyProtection="1">
      <alignment wrapText="1"/>
      <protection locked="0"/>
    </xf>
    <xf numFmtId="3" fontId="28" fillId="0" borderId="0" xfId="105" applyNumberFormat="1" applyFill="1" applyProtection="1">
      <alignment/>
      <protection locked="0"/>
    </xf>
    <xf numFmtId="3" fontId="29" fillId="0" borderId="0" xfId="101" applyNumberFormat="1" applyFont="1" applyFill="1" applyAlignment="1">
      <alignment horizontal="right"/>
      <protection/>
    </xf>
    <xf numFmtId="3" fontId="42" fillId="0" borderId="48" xfId="105" applyNumberFormat="1" applyFont="1" applyFill="1" applyBorder="1" applyAlignment="1" applyProtection="1">
      <alignment horizontal="center" vertical="center" wrapText="1"/>
      <protection/>
    </xf>
    <xf numFmtId="3" fontId="42" fillId="0" borderId="38" xfId="105" applyNumberFormat="1" applyFont="1" applyFill="1" applyBorder="1" applyAlignment="1" applyProtection="1">
      <alignment horizontal="center" vertical="center" wrapText="1"/>
      <protection/>
    </xf>
    <xf numFmtId="3" fontId="42" fillId="0" borderId="38" xfId="105" applyNumberFormat="1" applyFont="1" applyFill="1" applyBorder="1" applyAlignment="1" applyProtection="1">
      <alignment horizontal="center" vertical="center"/>
      <protection/>
    </xf>
    <xf numFmtId="3" fontId="42" fillId="0" borderId="56" xfId="105" applyNumberFormat="1" applyFont="1" applyFill="1" applyBorder="1" applyAlignment="1" applyProtection="1">
      <alignment horizontal="center" vertical="center"/>
      <protection/>
    </xf>
    <xf numFmtId="3" fontId="38" fillId="0" borderId="39" xfId="105" applyNumberFormat="1" applyFont="1" applyFill="1" applyBorder="1" applyAlignment="1" applyProtection="1">
      <alignment horizontal="left" vertical="center" indent="1"/>
      <protection/>
    </xf>
    <xf numFmtId="3" fontId="28" fillId="0" borderId="0" xfId="105" applyNumberFormat="1" applyFill="1" applyAlignment="1" applyProtection="1">
      <alignment vertical="center"/>
      <protection/>
    </xf>
    <xf numFmtId="3" fontId="38" fillId="0" borderId="41" xfId="105" applyNumberFormat="1" applyFont="1" applyFill="1" applyBorder="1" applyAlignment="1" applyProtection="1">
      <alignment horizontal="left" vertical="center" indent="1"/>
      <protection/>
    </xf>
    <xf numFmtId="3" fontId="38" fillId="0" borderId="52" xfId="105" applyNumberFormat="1" applyFont="1" applyFill="1" applyBorder="1" applyAlignment="1" applyProtection="1">
      <alignment horizontal="left" vertical="center" wrapText="1"/>
      <protection/>
    </xf>
    <xf numFmtId="3" fontId="38" fillId="0" borderId="52" xfId="105" applyNumberFormat="1" applyFont="1" applyFill="1" applyBorder="1" applyAlignment="1" applyProtection="1">
      <alignment vertical="center"/>
      <protection locked="0"/>
    </xf>
    <xf numFmtId="3" fontId="38" fillId="0" borderId="60" xfId="105" applyNumberFormat="1" applyFont="1" applyFill="1" applyBorder="1" applyAlignment="1" applyProtection="1">
      <alignment vertical="center"/>
      <protection/>
    </xf>
    <xf numFmtId="3" fontId="38" fillId="0" borderId="20" xfId="105" applyNumberFormat="1" applyFont="1" applyFill="1" applyBorder="1" applyAlignment="1" applyProtection="1">
      <alignment horizontal="left" vertical="center" indent="1"/>
      <protection/>
    </xf>
    <xf numFmtId="3" fontId="38" fillId="0" borderId="22" xfId="105" applyNumberFormat="1" applyFont="1" applyFill="1" applyBorder="1" applyAlignment="1" applyProtection="1">
      <alignment horizontal="left" vertical="center" wrapText="1"/>
      <protection/>
    </xf>
    <xf numFmtId="3" fontId="38" fillId="0" borderId="22" xfId="105" applyNumberFormat="1" applyFont="1" applyFill="1" applyBorder="1" applyAlignment="1" applyProtection="1">
      <alignment vertical="center"/>
      <protection locked="0"/>
    </xf>
    <xf numFmtId="3" fontId="38" fillId="0" borderId="23" xfId="105" applyNumberFormat="1" applyFont="1" applyFill="1" applyBorder="1" applyAlignment="1" applyProtection="1">
      <alignment vertical="center"/>
      <protection/>
    </xf>
    <xf numFmtId="3" fontId="28" fillId="0" borderId="0" xfId="105" applyNumberFormat="1" applyFill="1" applyAlignment="1" applyProtection="1">
      <alignment vertical="center"/>
      <protection locked="0"/>
    </xf>
    <xf numFmtId="3" fontId="38" fillId="0" borderId="42" xfId="105" applyNumberFormat="1" applyFont="1" applyFill="1" applyBorder="1" applyAlignment="1" applyProtection="1">
      <alignment horizontal="left" vertical="center" wrapText="1"/>
      <protection/>
    </xf>
    <xf numFmtId="3" fontId="38" fillId="0" borderId="42" xfId="105" applyNumberFormat="1" applyFont="1" applyFill="1" applyBorder="1" applyAlignment="1" applyProtection="1">
      <alignment vertical="center"/>
      <protection locked="0"/>
    </xf>
    <xf numFmtId="3" fontId="42" fillId="0" borderId="26" xfId="105" applyNumberFormat="1" applyFont="1" applyFill="1" applyBorder="1" applyAlignment="1" applyProtection="1">
      <alignment horizontal="left" vertical="center" wrapText="1"/>
      <protection/>
    </xf>
    <xf numFmtId="3" fontId="46" fillId="0" borderId="26" xfId="105" applyNumberFormat="1" applyFont="1" applyFill="1" applyBorder="1" applyAlignment="1" applyProtection="1">
      <alignment vertical="center"/>
      <protection/>
    </xf>
    <xf numFmtId="3" fontId="46" fillId="0" borderId="40" xfId="105" applyNumberFormat="1" applyFont="1" applyFill="1" applyBorder="1" applyAlignment="1" applyProtection="1">
      <alignment vertical="center"/>
      <protection/>
    </xf>
    <xf numFmtId="3" fontId="38" fillId="0" borderId="58" xfId="105" applyNumberFormat="1" applyFont="1" applyFill="1" applyBorder="1" applyAlignment="1" applyProtection="1">
      <alignment vertical="center"/>
      <protection/>
    </xf>
    <xf numFmtId="3" fontId="42" fillId="0" borderId="26" xfId="105" applyNumberFormat="1" applyFont="1" applyFill="1" applyBorder="1" applyAlignment="1" applyProtection="1">
      <alignment horizontal="left" wrapText="1"/>
      <protection/>
    </xf>
    <xf numFmtId="3" fontId="46" fillId="0" borderId="26" xfId="105" applyNumberFormat="1" applyFont="1" applyFill="1" applyBorder="1" applyProtection="1">
      <alignment/>
      <protection/>
    </xf>
    <xf numFmtId="3" fontId="46" fillId="0" borderId="40" xfId="105" applyNumberFormat="1" applyFont="1" applyFill="1" applyBorder="1" applyProtection="1">
      <alignment/>
      <protection/>
    </xf>
    <xf numFmtId="3" fontId="52" fillId="0" borderId="0" xfId="105" applyNumberFormat="1" applyFont="1" applyFill="1" applyProtection="1">
      <alignment/>
      <protection/>
    </xf>
    <xf numFmtId="3" fontId="25" fillId="0" borderId="0" xfId="105" applyNumberFormat="1" applyFont="1" applyFill="1" applyAlignment="1" applyProtection="1">
      <alignment wrapText="1"/>
      <protection locked="0"/>
    </xf>
    <xf numFmtId="3" fontId="39" fillId="0" borderId="0" xfId="105" applyNumberFormat="1" applyFont="1" applyFill="1" applyProtection="1">
      <alignment/>
      <protection locked="0"/>
    </xf>
    <xf numFmtId="3" fontId="3" fillId="0" borderId="40" xfId="0" applyNumberFormat="1" applyFont="1" applyFill="1" applyBorder="1" applyAlignment="1">
      <alignment vertical="center"/>
    </xf>
    <xf numFmtId="3" fontId="7" fillId="0" borderId="58" xfId="0" applyNumberFormat="1" applyFont="1" applyFill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32" fillId="0" borderId="40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horizontal="right" vertical="center"/>
    </xf>
    <xf numFmtId="3" fontId="7" fillId="0" borderId="59" xfId="0" applyNumberFormat="1" applyFont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0" fontId="12" fillId="1" borderId="23" xfId="102" applyFont="1" applyFill="1" applyBorder="1" applyAlignment="1">
      <alignment horizontal="center" vertical="center"/>
      <protection/>
    </xf>
    <xf numFmtId="0" fontId="12" fillId="1" borderId="20" xfId="102" applyFont="1" applyFill="1" applyBorder="1" applyAlignment="1">
      <alignment horizontal="center" vertical="center"/>
      <protection/>
    </xf>
    <xf numFmtId="3" fontId="58" fillId="0" borderId="46" xfId="101" applyNumberFormat="1" applyFont="1" applyBorder="1" applyAlignment="1">
      <alignment horizontal="right"/>
      <protection/>
    </xf>
    <xf numFmtId="0" fontId="58" fillId="0" borderId="64" xfId="101" applyFont="1" applyFill="1" applyBorder="1">
      <alignment/>
      <protection/>
    </xf>
    <xf numFmtId="3" fontId="58" fillId="0" borderId="46" xfId="101" applyNumberFormat="1" applyFont="1" applyFill="1" applyBorder="1">
      <alignment/>
      <protection/>
    </xf>
    <xf numFmtId="0" fontId="12" fillId="1" borderId="77" xfId="102" applyFont="1" applyFill="1" applyBorder="1" applyAlignment="1">
      <alignment horizontal="center" vertical="center" wrapText="1"/>
      <protection/>
    </xf>
    <xf numFmtId="0" fontId="12" fillId="1" borderId="77" xfId="102" applyFont="1" applyFill="1" applyBorder="1" applyAlignment="1">
      <alignment horizontal="center" vertical="center"/>
      <protection/>
    </xf>
    <xf numFmtId="3" fontId="11" fillId="0" borderId="55" xfId="102" applyNumberFormat="1" applyFont="1" applyBorder="1">
      <alignment/>
      <protection/>
    </xf>
    <xf numFmtId="169" fontId="42" fillId="0" borderId="95" xfId="0" applyNumberFormat="1" applyFont="1" applyFill="1" applyBorder="1" applyAlignment="1" applyProtection="1">
      <alignment horizontal="center" vertical="center" wrapText="1"/>
      <protection/>
    </xf>
    <xf numFmtId="169" fontId="42" fillId="0" borderId="71" xfId="0" applyNumberFormat="1" applyFont="1" applyFill="1" applyBorder="1" applyAlignment="1" applyProtection="1">
      <alignment horizontal="center" vertical="center" wrapText="1"/>
      <protection/>
    </xf>
    <xf numFmtId="10" fontId="7" fillId="0" borderId="22" xfId="0" applyNumberFormat="1" applyFont="1" applyBorder="1" applyAlignment="1">
      <alignment vertical="center"/>
    </xf>
    <xf numFmtId="10" fontId="7" fillId="0" borderId="22" xfId="0" applyNumberFormat="1" applyFont="1" applyFill="1" applyBorder="1" applyAlignment="1">
      <alignment vertical="center"/>
    </xf>
    <xf numFmtId="10" fontId="7" fillId="0" borderId="52" xfId="0" applyNumberFormat="1" applyFont="1" applyBorder="1" applyAlignment="1">
      <alignment vertical="center"/>
    </xf>
    <xf numFmtId="10" fontId="7" fillId="0" borderId="27" xfId="0" applyNumberFormat="1" applyFont="1" applyFill="1" applyBorder="1" applyAlignment="1">
      <alignment vertical="center"/>
    </xf>
    <xf numFmtId="10" fontId="4" fillId="0" borderId="52" xfId="0" applyNumberFormat="1" applyFont="1" applyBorder="1" applyAlignment="1">
      <alignment vertical="center"/>
    </xf>
    <xf numFmtId="10" fontId="7" fillId="0" borderId="24" xfId="0" applyNumberFormat="1" applyFont="1" applyFill="1" applyBorder="1" applyAlignment="1">
      <alignment vertical="center"/>
    </xf>
    <xf numFmtId="10" fontId="30" fillId="0" borderId="95" xfId="102" applyNumberFormat="1" applyFont="1" applyBorder="1" applyAlignment="1">
      <alignment horizontal="right" vertical="center" wrapText="1"/>
      <protection/>
    </xf>
    <xf numFmtId="10" fontId="58" fillId="0" borderId="42" xfId="101" applyNumberFormat="1" applyFont="1" applyBorder="1" applyAlignment="1">
      <alignment horizontal="right"/>
      <protection/>
    </xf>
    <xf numFmtId="10" fontId="58" fillId="0" borderId="46" xfId="101" applyNumberFormat="1" applyFont="1" applyBorder="1" applyAlignment="1">
      <alignment horizontal="right"/>
      <protection/>
    </xf>
    <xf numFmtId="10" fontId="58" fillId="0" borderId="26" xfId="101" applyNumberFormat="1" applyFont="1" applyBorder="1" applyAlignment="1">
      <alignment horizontal="right" vertical="center"/>
      <protection/>
    </xf>
    <xf numFmtId="10" fontId="58" fillId="0" borderId="26" xfId="101" applyNumberFormat="1" applyFont="1" applyFill="1" applyBorder="1" applyAlignment="1">
      <alignment vertical="center"/>
      <protection/>
    </xf>
    <xf numFmtId="10" fontId="58" fillId="0" borderId="26" xfId="101" applyNumberFormat="1" applyFont="1" applyFill="1" applyBorder="1">
      <alignment/>
      <protection/>
    </xf>
    <xf numFmtId="10" fontId="58" fillId="0" borderId="22" xfId="101" applyNumberFormat="1" applyFont="1" applyBorder="1">
      <alignment/>
      <protection/>
    </xf>
    <xf numFmtId="10" fontId="58" fillId="0" borderId="27" xfId="101" applyNumberFormat="1" applyFont="1" applyBorder="1">
      <alignment/>
      <protection/>
    </xf>
    <xf numFmtId="3" fontId="3" fillId="0" borderId="51" xfId="0" applyNumberFormat="1" applyFont="1" applyFill="1" applyBorder="1" applyAlignment="1">
      <alignment horizontal="center" vertical="center" wrapText="1"/>
    </xf>
    <xf numFmtId="169" fontId="46" fillId="0" borderId="61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50" xfId="0" applyFont="1" applyFill="1" applyBorder="1" applyAlignment="1">
      <alignment horizontal="centerContinuous" vertical="center" wrapText="1"/>
    </xf>
    <xf numFmtId="3" fontId="30" fillId="0" borderId="66" xfId="102" applyNumberFormat="1" applyFont="1" applyFill="1" applyBorder="1" applyAlignment="1">
      <alignment vertical="center"/>
      <protection/>
    </xf>
    <xf numFmtId="3" fontId="30" fillId="0" borderId="62" xfId="102" applyNumberFormat="1" applyFont="1" applyFill="1" applyBorder="1" applyAlignment="1">
      <alignment horizontal="right" vertical="center" wrapText="1"/>
      <protection/>
    </xf>
    <xf numFmtId="3" fontId="30" fillId="0" borderId="95" xfId="102" applyNumberFormat="1" applyFont="1" applyFill="1" applyBorder="1" applyAlignment="1">
      <alignment horizontal="right" vertical="center" wrapText="1"/>
      <protection/>
    </xf>
    <xf numFmtId="3" fontId="18" fillId="0" borderId="74" xfId="102" applyNumberFormat="1" applyFont="1" applyBorder="1" applyAlignment="1">
      <alignment horizontal="right"/>
      <protection/>
    </xf>
    <xf numFmtId="0" fontId="12" fillId="1" borderId="34" xfId="102" applyFont="1" applyFill="1" applyBorder="1" applyAlignment="1">
      <alignment horizontal="center" vertical="center"/>
      <protection/>
    </xf>
    <xf numFmtId="0" fontId="3" fillId="0" borderId="61" xfId="0" applyFont="1" applyFill="1" applyBorder="1" applyAlignment="1">
      <alignment horizontal="centerContinuous" vertical="center" wrapText="1"/>
    </xf>
    <xf numFmtId="0" fontId="67" fillId="0" borderId="86" xfId="0" applyFont="1" applyBorder="1" applyAlignment="1">
      <alignment vertical="center" wrapText="1"/>
    </xf>
    <xf numFmtId="0" fontId="67" fillId="0" borderId="96" xfId="0" applyFont="1" applyBorder="1" applyAlignment="1">
      <alignment horizontal="center" vertical="center" wrapText="1"/>
    </xf>
    <xf numFmtId="3" fontId="30" fillId="0" borderId="96" xfId="102" applyNumberFormat="1" applyFont="1" applyFill="1" applyBorder="1" applyAlignment="1">
      <alignment vertical="center"/>
      <protection/>
    </xf>
    <xf numFmtId="10" fontId="30" fillId="0" borderId="96" xfId="102" applyNumberFormat="1" applyFont="1" applyBorder="1" applyAlignment="1">
      <alignment horizontal="right" vertical="center" wrapText="1"/>
      <protection/>
    </xf>
    <xf numFmtId="169" fontId="35" fillId="0" borderId="54" xfId="104" applyNumberFormat="1" applyFont="1" applyFill="1" applyBorder="1" applyAlignment="1" applyProtection="1">
      <alignment vertical="center"/>
      <protection/>
    </xf>
    <xf numFmtId="3" fontId="11" fillId="0" borderId="55" xfId="102" applyNumberFormat="1" applyBorder="1" applyAlignment="1">
      <alignment vertical="center"/>
      <protection/>
    </xf>
    <xf numFmtId="0" fontId="58" fillId="0" borderId="21" xfId="101" applyFont="1" applyBorder="1">
      <alignment/>
      <protection/>
    </xf>
    <xf numFmtId="0" fontId="1" fillId="0" borderId="35" xfId="101" applyFont="1" applyFill="1" applyBorder="1">
      <alignment/>
      <protection/>
    </xf>
    <xf numFmtId="3" fontId="1" fillId="0" borderId="27" xfId="101" applyNumberFormat="1" applyFont="1" applyFill="1" applyBorder="1">
      <alignment/>
      <protection/>
    </xf>
    <xf numFmtId="0" fontId="1" fillId="0" borderId="35" xfId="101" applyFont="1" applyBorder="1">
      <alignment/>
      <protection/>
    </xf>
    <xf numFmtId="0" fontId="1" fillId="0" borderId="35" xfId="101" applyFont="1" applyBorder="1" applyAlignment="1">
      <alignment wrapText="1"/>
      <protection/>
    </xf>
    <xf numFmtId="3" fontId="1" fillId="0" borderId="0" xfId="101" applyNumberFormat="1" applyFill="1">
      <alignment/>
      <protection/>
    </xf>
    <xf numFmtId="10" fontId="58" fillId="0" borderId="46" xfId="101" applyNumberFormat="1" applyFont="1" applyFill="1" applyBorder="1" applyAlignment="1">
      <alignment horizontal="center"/>
      <protection/>
    </xf>
    <xf numFmtId="0" fontId="30" fillId="0" borderId="22" xfId="102" applyFont="1" applyFill="1" applyBorder="1" applyAlignment="1">
      <alignment vertical="center" wrapText="1"/>
      <protection/>
    </xf>
    <xf numFmtId="0" fontId="0" fillId="0" borderId="42" xfId="102" applyFont="1" applyFill="1" applyBorder="1" applyAlignment="1">
      <alignment horizontal="left" vertical="center" wrapText="1"/>
      <protection/>
    </xf>
    <xf numFmtId="0" fontId="0" fillId="0" borderId="34" xfId="102" applyFont="1" applyFill="1" applyBorder="1" applyAlignment="1">
      <alignment horizontal="center" vertical="center"/>
      <protection/>
    </xf>
    <xf numFmtId="3" fontId="7" fillId="0" borderId="25" xfId="102" applyNumberFormat="1" applyFont="1" applyFill="1" applyBorder="1" applyAlignment="1">
      <alignment horizontal="right" vertical="center"/>
      <protection/>
    </xf>
    <xf numFmtId="169" fontId="46" fillId="0" borderId="52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60" xfId="0" applyNumberFormat="1" applyFont="1" applyFill="1" applyBorder="1" applyAlignment="1" applyProtection="1">
      <alignment horizontal="right" vertical="center" wrapText="1" indent="1"/>
      <protection/>
    </xf>
    <xf numFmtId="0" fontId="38" fillId="0" borderId="52" xfId="104" applyFont="1" applyFill="1" applyBorder="1" applyAlignment="1" applyProtection="1">
      <alignment horizontal="left" vertical="center" wrapText="1" indent="1"/>
      <protection/>
    </xf>
    <xf numFmtId="0" fontId="38" fillId="0" borderId="43" xfId="0" applyFont="1" applyFill="1" applyBorder="1" applyAlignment="1" applyProtection="1">
      <alignment horizontal="left" vertical="center" wrapText="1" indent="1"/>
      <protection/>
    </xf>
    <xf numFmtId="169" fontId="46" fillId="0" borderId="43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43" xfId="0" applyNumberFormat="1" applyFont="1" applyFill="1" applyBorder="1" applyAlignment="1" applyProtection="1">
      <alignment horizontal="right" vertical="center" wrapText="1" indent="1"/>
      <protection/>
    </xf>
    <xf numFmtId="10" fontId="46" fillId="0" borderId="44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44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19" xfId="0" applyNumberFormat="1" applyFont="1" applyFill="1" applyBorder="1" applyAlignment="1" applyProtection="1">
      <alignment horizontal="right" vertical="center" wrapText="1" indent="1"/>
      <protection/>
    </xf>
    <xf numFmtId="0" fontId="38" fillId="0" borderId="22" xfId="0" applyFont="1" applyFill="1" applyBorder="1" applyAlignment="1" applyProtection="1">
      <alignment horizontal="left" vertical="center" wrapText="1" indent="1"/>
      <protection/>
    </xf>
    <xf numFmtId="169" fontId="46" fillId="0" borderId="22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2" xfId="0" applyNumberFormat="1" applyFont="1" applyFill="1" applyBorder="1" applyAlignment="1" applyProtection="1">
      <alignment horizontal="right" vertical="center" wrapText="1" indent="1"/>
      <protection/>
    </xf>
    <xf numFmtId="10" fontId="46" fillId="0" borderId="23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23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20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28" xfId="0" applyFont="1" applyFill="1" applyBorder="1" applyAlignment="1" applyProtection="1">
      <alignment horizontal="center" vertical="center" wrapText="1"/>
      <protection/>
    </xf>
    <xf numFmtId="0" fontId="38" fillId="0" borderId="27" xfId="0" applyFont="1" applyFill="1" applyBorder="1" applyAlignment="1" applyProtection="1">
      <alignment horizontal="left" vertical="center" wrapText="1" indent="1"/>
      <protection/>
    </xf>
    <xf numFmtId="169" fontId="46" fillId="0" borderId="27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7" xfId="0" applyNumberFormat="1" applyFont="1" applyFill="1" applyBorder="1" applyAlignment="1" applyProtection="1">
      <alignment horizontal="right" vertical="center" wrapText="1" indent="1"/>
      <protection/>
    </xf>
    <xf numFmtId="10" fontId="46" fillId="0" borderId="59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59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28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91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90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74" xfId="0" applyFont="1" applyFill="1" applyBorder="1" applyAlignment="1" applyProtection="1">
      <alignment horizontal="left" vertical="center" wrapText="1" indent="1"/>
      <protection/>
    </xf>
    <xf numFmtId="169" fontId="46" fillId="0" borderId="21" xfId="0" applyNumberFormat="1" applyFont="1" applyFill="1" applyBorder="1" applyAlignment="1" applyProtection="1">
      <alignment horizontal="right" vertical="center" wrapText="1" indent="1"/>
      <protection/>
    </xf>
    <xf numFmtId="10" fontId="46" fillId="0" borderId="49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24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49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38" fillId="0" borderId="72" xfId="0" applyFont="1" applyFill="1" applyBorder="1" applyAlignment="1" applyProtection="1">
      <alignment horizontal="left" vertical="center" wrapText="1" indent="1"/>
      <protection/>
    </xf>
    <xf numFmtId="0" fontId="38" fillId="0" borderId="66" xfId="0" applyFont="1" applyFill="1" applyBorder="1" applyAlignment="1" applyProtection="1">
      <alignment horizontal="left" vertical="center" wrapText="1" indent="1"/>
      <protection/>
    </xf>
    <xf numFmtId="0" fontId="38" fillId="0" borderId="62" xfId="0" applyFont="1" applyFill="1" applyBorder="1" applyAlignment="1" applyProtection="1">
      <alignment horizontal="left" vertical="center" wrapText="1" indent="1"/>
      <protection/>
    </xf>
    <xf numFmtId="169" fontId="38" fillId="0" borderId="19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0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21" xfId="0" applyFont="1" applyFill="1" applyBorder="1" applyAlignment="1" applyProtection="1">
      <alignment horizontal="center" vertical="center" wrapText="1"/>
      <protection/>
    </xf>
    <xf numFmtId="0" fontId="37" fillId="0" borderId="24" xfId="0" applyFont="1" applyFill="1" applyBorder="1" applyAlignment="1" applyProtection="1">
      <alignment horizontal="center" vertical="center" wrapText="1"/>
      <protection/>
    </xf>
    <xf numFmtId="0" fontId="14" fillId="0" borderId="0" xfId="102" applyFont="1" applyAlignment="1">
      <alignment horizontal="center"/>
      <protection/>
    </xf>
    <xf numFmtId="3" fontId="0" fillId="0" borderId="68" xfId="0" applyNumberFormat="1" applyFont="1" applyBorder="1" applyAlignment="1">
      <alignment/>
    </xf>
    <xf numFmtId="0" fontId="18" fillId="0" borderId="0" xfId="102" applyFont="1" applyAlignment="1">
      <alignment wrapText="1"/>
      <protection/>
    </xf>
    <xf numFmtId="0" fontId="3" fillId="0" borderId="37" xfId="0" applyFont="1" applyFill="1" applyBorder="1" applyAlignment="1">
      <alignment horizontal="centerContinuous" vertical="center" wrapText="1"/>
    </xf>
    <xf numFmtId="3" fontId="7" fillId="0" borderId="23" xfId="0" applyNumberFormat="1" applyFont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7" fillId="0" borderId="60" xfId="0" applyNumberFormat="1" applyFont="1" applyBorder="1" applyAlignment="1">
      <alignment vertical="center"/>
    </xf>
    <xf numFmtId="3" fontId="7" fillId="0" borderId="59" xfId="0" applyNumberFormat="1" applyFont="1" applyFill="1" applyBorder="1" applyAlignment="1">
      <alignment vertical="center"/>
    </xf>
    <xf numFmtId="0" fontId="4" fillId="0" borderId="60" xfId="0" applyFont="1" applyBorder="1" applyAlignment="1">
      <alignment vertical="center"/>
    </xf>
    <xf numFmtId="3" fontId="7" fillId="0" borderId="49" xfId="0" applyNumberFormat="1" applyFont="1" applyFill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15" fillId="0" borderId="22" xfId="0" applyNumberFormat="1" applyFont="1" applyFill="1" applyBorder="1" applyAlignment="1">
      <alignment vertical="center"/>
    </xf>
    <xf numFmtId="3" fontId="15" fillId="0" borderId="22" xfId="0" applyNumberFormat="1" applyFont="1" applyFill="1" applyBorder="1" applyAlignment="1">
      <alignment horizontal="right" vertical="center"/>
    </xf>
    <xf numFmtId="3" fontId="15" fillId="0" borderId="22" xfId="102" applyNumberFormat="1" applyFont="1" applyFill="1" applyBorder="1" applyAlignment="1">
      <alignment vertical="center"/>
      <protection/>
    </xf>
    <xf numFmtId="10" fontId="7" fillId="0" borderId="44" xfId="0" applyNumberFormat="1" applyFont="1" applyFill="1" applyBorder="1" applyAlignment="1">
      <alignment horizontal="right" vertical="center"/>
    </xf>
    <xf numFmtId="3" fontId="7" fillId="49" borderId="23" xfId="0" applyNumberFormat="1" applyFont="1" applyFill="1" applyBorder="1" applyAlignment="1">
      <alignment horizontal="right" vertical="center" wrapText="1"/>
    </xf>
    <xf numFmtId="10" fontId="3" fillId="0" borderId="40" xfId="0" applyNumberFormat="1" applyFont="1" applyFill="1" applyBorder="1" applyAlignment="1">
      <alignment horizontal="centerContinuous" vertical="center" wrapText="1"/>
    </xf>
    <xf numFmtId="0" fontId="46" fillId="0" borderId="25" xfId="0" applyFont="1" applyFill="1" applyBorder="1" applyAlignment="1" applyProtection="1">
      <alignment horizontal="center" vertical="center" wrapText="1"/>
      <protection/>
    </xf>
    <xf numFmtId="0" fontId="38" fillId="0" borderId="42" xfId="0" applyFont="1" applyFill="1" applyBorder="1" applyAlignment="1" applyProtection="1">
      <alignment horizontal="left" vertical="center" wrapText="1" indent="1"/>
      <protection/>
    </xf>
    <xf numFmtId="169" fontId="46" fillId="0" borderId="42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42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67" fillId="0" borderId="35" xfId="0" applyFont="1" applyBorder="1" applyAlignment="1">
      <alignment vertical="center" wrapText="1"/>
    </xf>
    <xf numFmtId="0" fontId="67" fillId="0" borderId="27" xfId="0" applyFont="1" applyBorder="1" applyAlignment="1">
      <alignment horizontal="center" vertical="center" wrapText="1"/>
    </xf>
    <xf numFmtId="3" fontId="30" fillId="0" borderId="27" xfId="102" applyNumberFormat="1" applyFont="1" applyFill="1" applyBorder="1" applyAlignment="1">
      <alignment vertical="center"/>
      <protection/>
    </xf>
    <xf numFmtId="10" fontId="30" fillId="0" borderId="27" xfId="102" applyNumberFormat="1" applyFont="1" applyBorder="1" applyAlignment="1">
      <alignment horizontal="right" vertical="center" wrapText="1"/>
      <protection/>
    </xf>
    <xf numFmtId="3" fontId="34" fillId="51" borderId="66" xfId="102" applyNumberFormat="1" applyFont="1" applyFill="1" applyBorder="1" applyAlignment="1">
      <alignment horizontal="right"/>
      <protection/>
    </xf>
    <xf numFmtId="3" fontId="14" fillId="0" borderId="0" xfId="102" applyNumberFormat="1" applyFont="1" applyAlignment="1">
      <alignment horizontal="center"/>
      <protection/>
    </xf>
    <xf numFmtId="3" fontId="34" fillId="51" borderId="62" xfId="102" applyNumberFormat="1" applyFont="1" applyFill="1" applyBorder="1" applyAlignment="1">
      <alignment horizontal="right"/>
      <protection/>
    </xf>
    <xf numFmtId="3" fontId="34" fillId="51" borderId="27" xfId="102" applyNumberFormat="1" applyFont="1" applyFill="1" applyBorder="1" applyAlignment="1">
      <alignment horizontal="right"/>
      <protection/>
    </xf>
    <xf numFmtId="3" fontId="15" fillId="0" borderId="0" xfId="102" applyNumberFormat="1" applyFont="1" applyFill="1">
      <alignment/>
      <protection/>
    </xf>
    <xf numFmtId="3" fontId="34" fillId="0" borderId="62" xfId="102" applyNumberFormat="1" applyFont="1" applyFill="1" applyBorder="1" applyAlignment="1">
      <alignment horizontal="right"/>
      <protection/>
    </xf>
    <xf numFmtId="3" fontId="34" fillId="0" borderId="27" xfId="102" applyNumberFormat="1" applyFont="1" applyFill="1" applyBorder="1" applyAlignment="1">
      <alignment horizontal="right"/>
      <protection/>
    </xf>
    <xf numFmtId="3" fontId="123" fillId="0" borderId="0" xfId="0" applyNumberFormat="1" applyFont="1" applyBorder="1" applyAlignment="1">
      <alignment/>
    </xf>
    <xf numFmtId="0" fontId="124" fillId="0" borderId="0" xfId="0" applyFont="1" applyAlignment="1">
      <alignment/>
    </xf>
    <xf numFmtId="3" fontId="7" fillId="0" borderId="42" xfId="0" applyNumberFormat="1" applyFont="1" applyFill="1" applyBorder="1" applyAlignment="1" applyProtection="1">
      <alignment vertical="center"/>
      <protection locked="0"/>
    </xf>
    <xf numFmtId="3" fontId="7" fillId="0" borderId="20" xfId="0" applyNumberFormat="1" applyFont="1" applyFill="1" applyBorder="1" applyAlignment="1" applyProtection="1">
      <alignment horizontal="right" vertical="center"/>
      <protection locked="0"/>
    </xf>
    <xf numFmtId="3" fontId="7" fillId="0" borderId="22" xfId="0" applyNumberFormat="1" applyFont="1" applyFill="1" applyBorder="1" applyAlignment="1" applyProtection="1">
      <alignment horizontal="right" vertical="center"/>
      <protection locked="0"/>
    </xf>
    <xf numFmtId="10" fontId="7" fillId="0" borderId="23" xfId="0" applyNumberFormat="1" applyFont="1" applyFill="1" applyBorder="1" applyAlignment="1" applyProtection="1">
      <alignment horizontal="right" vertical="center"/>
      <protection locked="0"/>
    </xf>
    <xf numFmtId="3" fontId="7" fillId="0" borderId="21" xfId="0" applyNumberFormat="1" applyFont="1" applyFill="1" applyBorder="1" applyAlignment="1" applyProtection="1">
      <alignment horizontal="right" vertical="center"/>
      <protection locked="0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19" xfId="0" applyNumberFormat="1" applyFont="1" applyFill="1" applyBorder="1" applyAlignment="1" applyProtection="1">
      <alignment horizontal="right" vertical="center"/>
      <protection locked="0"/>
    </xf>
    <xf numFmtId="3" fontId="7" fillId="0" borderId="43" xfId="0" applyNumberFormat="1" applyFont="1" applyFill="1" applyBorder="1" applyAlignment="1" applyProtection="1">
      <alignment horizontal="right" vertical="center"/>
      <protection locked="0"/>
    </xf>
    <xf numFmtId="3" fontId="7" fillId="0" borderId="42" xfId="0" applyNumberFormat="1" applyFont="1" applyFill="1" applyBorder="1" applyAlignment="1" applyProtection="1">
      <alignment horizontal="right" vertical="center"/>
      <protection locked="0"/>
    </xf>
    <xf numFmtId="10" fontId="7" fillId="0" borderId="58" xfId="0" applyNumberFormat="1" applyFont="1" applyFill="1" applyBorder="1" applyAlignment="1" applyProtection="1">
      <alignment horizontal="right" vertical="center"/>
      <protection locked="0"/>
    </xf>
    <xf numFmtId="3" fontId="7" fillId="0" borderId="25" xfId="0" applyNumberFormat="1" applyFont="1" applyFill="1" applyBorder="1" applyAlignment="1" applyProtection="1">
      <alignment horizontal="right" vertical="center"/>
      <protection locked="0"/>
    </xf>
    <xf numFmtId="3" fontId="7" fillId="0" borderId="20" xfId="0" applyNumberFormat="1" applyFont="1" applyFill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vertical="center"/>
      <protection locked="0"/>
    </xf>
    <xf numFmtId="10" fontId="7" fillId="0" borderId="23" xfId="0" applyNumberFormat="1" applyFont="1" applyFill="1" applyBorder="1" applyAlignment="1" applyProtection="1">
      <alignment vertical="center"/>
      <protection locked="0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3" fontId="7" fillId="0" borderId="27" xfId="0" applyNumberFormat="1" applyFont="1" applyFill="1" applyBorder="1" applyAlignment="1" applyProtection="1">
      <alignment vertical="center"/>
      <protection locked="0"/>
    </xf>
    <xf numFmtId="10" fontId="7" fillId="0" borderId="59" xfId="0" applyNumberFormat="1" applyFont="1" applyFill="1" applyBorder="1" applyAlignment="1" applyProtection="1">
      <alignment vertical="center"/>
      <protection locked="0"/>
    </xf>
    <xf numFmtId="3" fontId="125" fillId="0" borderId="0" xfId="102" applyNumberFormat="1" applyFont="1" applyFill="1" applyBorder="1" applyAlignment="1">
      <alignment horizontal="right" vertical="center"/>
      <protection/>
    </xf>
    <xf numFmtId="0" fontId="126" fillId="0" borderId="0" xfId="102" applyFont="1">
      <alignment/>
      <protection/>
    </xf>
    <xf numFmtId="3" fontId="11" fillId="0" borderId="33" xfId="102" applyNumberFormat="1" applyFont="1" applyBorder="1" applyAlignment="1">
      <alignment vertical="center"/>
      <protection/>
    </xf>
    <xf numFmtId="3" fontId="7" fillId="0" borderId="58" xfId="0" applyNumberFormat="1" applyFont="1" applyFill="1" applyBorder="1" applyAlignment="1" applyProtection="1">
      <alignment vertical="center"/>
      <protection locked="0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 applyProtection="1">
      <alignment horizontal="right" vertical="center"/>
      <protection locked="0"/>
    </xf>
    <xf numFmtId="3" fontId="7" fillId="0" borderId="58" xfId="0" applyNumberFormat="1" applyFont="1" applyFill="1" applyBorder="1" applyAlignment="1" applyProtection="1">
      <alignment horizontal="right" vertical="center"/>
      <protection locked="0"/>
    </xf>
    <xf numFmtId="3" fontId="7" fillId="0" borderId="49" xfId="0" applyNumberFormat="1" applyFont="1" applyFill="1" applyBorder="1" applyAlignment="1">
      <alignment horizontal="right" vertical="center"/>
    </xf>
    <xf numFmtId="3" fontId="7" fillId="0" borderId="59" xfId="0" applyNumberFormat="1" applyFont="1" applyFill="1" applyBorder="1" applyAlignment="1" applyProtection="1">
      <alignment vertical="center"/>
      <protection locked="0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10" fontId="38" fillId="0" borderId="58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58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5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3" xfId="0" applyNumberFormat="1" applyFont="1" applyFill="1" applyBorder="1" applyAlignment="1" applyProtection="1">
      <alignment horizontal="right" vertical="center" wrapText="1" indent="1"/>
      <protection/>
    </xf>
    <xf numFmtId="10" fontId="38" fillId="0" borderId="59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9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1" xfId="0" applyNumberFormat="1" applyFont="1" applyFill="1" applyBorder="1" applyAlignment="1" applyProtection="1">
      <alignment horizontal="right" vertical="center" wrapText="1" indent="1"/>
      <protection/>
    </xf>
    <xf numFmtId="10" fontId="38" fillId="0" borderId="49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93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0" xfId="0" applyNumberFormat="1" applyFont="1" applyAlignment="1">
      <alignment vertical="center"/>
    </xf>
    <xf numFmtId="49" fontId="40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2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3" fillId="0" borderId="39" xfId="0" applyNumberFormat="1" applyFont="1" applyFill="1" applyBorder="1" applyAlignment="1">
      <alignment horizontal="right" vertical="center" wrapText="1"/>
    </xf>
    <xf numFmtId="3" fontId="3" fillId="0" borderId="26" xfId="0" applyNumberFormat="1" applyFont="1" applyFill="1" applyBorder="1" applyAlignment="1">
      <alignment horizontal="right" vertical="center" wrapText="1"/>
    </xf>
    <xf numFmtId="3" fontId="3" fillId="0" borderId="4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10" fontId="3" fillId="0" borderId="40" xfId="0" applyNumberFormat="1" applyFont="1" applyFill="1" applyBorder="1" applyAlignment="1">
      <alignment horizontal="right" vertical="center" wrapText="1"/>
    </xf>
    <xf numFmtId="49" fontId="0" fillId="0" borderId="79" xfId="0" applyNumberFormat="1" applyFont="1" applyFill="1" applyBorder="1" applyAlignment="1">
      <alignment horizontal="left"/>
    </xf>
    <xf numFmtId="3" fontId="7" fillId="0" borderId="19" xfId="0" applyNumberFormat="1" applyFont="1" applyFill="1" applyBorder="1" applyAlignment="1">
      <alignment horizontal="right" vertical="center" wrapText="1"/>
    </xf>
    <xf numFmtId="3" fontId="7" fillId="0" borderId="43" xfId="0" applyNumberFormat="1" applyFont="1" applyFill="1" applyBorder="1" applyAlignment="1">
      <alignment horizontal="right" vertical="center" wrapText="1"/>
    </xf>
    <xf numFmtId="10" fontId="7" fillId="0" borderId="44" xfId="0" applyNumberFormat="1" applyFont="1" applyFill="1" applyBorder="1" applyAlignment="1">
      <alignment horizontal="right" vertical="center" wrapText="1"/>
    </xf>
    <xf numFmtId="3" fontId="7" fillId="0" borderId="44" xfId="0" applyNumberFormat="1" applyFont="1" applyFill="1" applyBorder="1" applyAlignment="1">
      <alignment horizontal="right" vertical="center" wrapText="1"/>
    </xf>
    <xf numFmtId="49" fontId="0" fillId="0" borderId="31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2" xfId="0" applyNumberFormat="1" applyFont="1" applyFill="1" applyBorder="1" applyAlignment="1" applyProtection="1">
      <alignment horizontal="right" vertical="center" wrapText="1"/>
      <protection locked="0"/>
    </xf>
    <xf numFmtId="10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0" xfId="0" applyNumberFormat="1" applyFont="1" applyFill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0" fontId="7" fillId="0" borderId="32" xfId="0" applyFont="1" applyFill="1" applyBorder="1" applyAlignment="1">
      <alignment horizontal="left" wrapText="1"/>
    </xf>
    <xf numFmtId="49" fontId="0" fillId="0" borderId="63" xfId="0" applyNumberFormat="1" applyFont="1" applyFill="1" applyBorder="1" applyAlignment="1">
      <alignment horizontal="left"/>
    </xf>
    <xf numFmtId="3" fontId="7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4" xfId="0" applyNumberFormat="1" applyFont="1" applyFill="1" applyBorder="1" applyAlignment="1" applyProtection="1">
      <alignment horizontal="right" vertical="center" wrapText="1"/>
      <protection locked="0"/>
    </xf>
    <xf numFmtId="10" fontId="7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33" xfId="0" applyNumberFormat="1" applyFont="1" applyFill="1" applyBorder="1" applyAlignment="1">
      <alignment horizontal="left"/>
    </xf>
    <xf numFmtId="3" fontId="7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42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35" xfId="0" applyNumberFormat="1" applyFont="1" applyFill="1" applyBorder="1" applyAlignment="1">
      <alignment horizontal="left"/>
    </xf>
    <xf numFmtId="49" fontId="3" fillId="0" borderId="30" xfId="0" applyNumberFormat="1" applyFont="1" applyFill="1" applyBorder="1" applyAlignment="1">
      <alignment horizontal="left" vertical="center"/>
    </xf>
    <xf numFmtId="49" fontId="7" fillId="0" borderId="34" xfId="0" applyNumberFormat="1" applyFont="1" applyFill="1" applyBorder="1" applyAlignment="1">
      <alignment horizontal="left" vertical="center"/>
    </xf>
    <xf numFmtId="49" fontId="7" fillId="0" borderId="32" xfId="0" applyNumberFormat="1" applyFont="1" applyFill="1" applyBorder="1" applyAlignment="1">
      <alignment horizontal="left" vertical="center"/>
    </xf>
    <xf numFmtId="49" fontId="0" fillId="0" borderId="55" xfId="0" applyNumberFormat="1" applyFont="1" applyFill="1" applyBorder="1" applyAlignment="1">
      <alignment horizontal="left"/>
    </xf>
    <xf numFmtId="0" fontId="0" fillId="0" borderId="33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33" xfId="0" applyFont="1" applyFill="1" applyBorder="1" applyAlignment="1">
      <alignment/>
    </xf>
    <xf numFmtId="3" fontId="2" fillId="0" borderId="39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10" fontId="2" fillId="0" borderId="40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10" fontId="4" fillId="0" borderId="40" xfId="0" applyNumberFormat="1" applyFont="1" applyFill="1" applyBorder="1" applyAlignment="1">
      <alignment vertical="center"/>
    </xf>
    <xf numFmtId="49" fontId="3" fillId="0" borderId="68" xfId="0" applyNumberFormat="1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/>
    </xf>
    <xf numFmtId="3" fontId="0" fillId="0" borderId="68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24" fillId="0" borderId="0" xfId="0" applyFont="1" applyFill="1" applyAlignment="1">
      <alignment/>
    </xf>
    <xf numFmtId="3" fontId="123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3" fontId="15" fillId="0" borderId="24" xfId="102" applyNumberFormat="1" applyFont="1" applyFill="1" applyBorder="1" applyAlignment="1">
      <alignment vertical="center"/>
      <protection/>
    </xf>
    <xf numFmtId="0" fontId="58" fillId="0" borderId="35" xfId="101" applyFont="1" applyBorder="1" applyAlignment="1">
      <alignment wrapText="1"/>
      <protection/>
    </xf>
    <xf numFmtId="3" fontId="15" fillId="0" borderId="27" xfId="102" applyNumberFormat="1" applyFont="1" applyFill="1" applyBorder="1" applyAlignment="1">
      <alignment horizontal="right" vertical="center"/>
      <protection/>
    </xf>
    <xf numFmtId="0" fontId="14" fillId="0" borderId="29" xfId="0" applyFont="1" applyFill="1" applyBorder="1" applyAlignment="1">
      <alignment vertical="center" wrapText="1"/>
    </xf>
    <xf numFmtId="10" fontId="34" fillId="0" borderId="62" xfId="102" applyNumberFormat="1" applyFont="1" applyFill="1" applyBorder="1" applyAlignment="1">
      <alignment horizontal="right"/>
      <protection/>
    </xf>
    <xf numFmtId="0" fontId="46" fillId="0" borderId="50" xfId="0" applyFont="1" applyFill="1" applyBorder="1" applyAlignment="1" applyProtection="1">
      <alignment horizontal="center" vertical="center" wrapText="1"/>
      <protection/>
    </xf>
    <xf numFmtId="3" fontId="58" fillId="0" borderId="0" xfId="101" applyNumberFormat="1" applyFont="1" applyFill="1">
      <alignment/>
      <protection/>
    </xf>
    <xf numFmtId="3" fontId="1" fillId="0" borderId="0" xfId="101" applyNumberFormat="1" applyFill="1" applyAlignment="1" applyProtection="1">
      <alignment vertical="center"/>
      <protection/>
    </xf>
    <xf numFmtId="3" fontId="1" fillId="0" borderId="0" xfId="101" applyNumberFormat="1" applyFill="1" applyAlignment="1">
      <alignment vertical="center"/>
      <protection/>
    </xf>
    <xf numFmtId="3" fontId="82" fillId="0" borderId="26" xfId="101" applyNumberFormat="1" applyFont="1" applyFill="1" applyBorder="1" applyAlignment="1">
      <alignment vertical="center"/>
      <protection/>
    </xf>
    <xf numFmtId="3" fontId="63" fillId="0" borderId="0" xfId="102" applyNumberFormat="1" applyFont="1">
      <alignment/>
      <protection/>
    </xf>
    <xf numFmtId="3" fontId="6" fillId="0" borderId="0" xfId="0" applyNumberFormat="1" applyFont="1" applyAlignment="1">
      <alignment/>
    </xf>
    <xf numFmtId="0" fontId="12" fillId="0" borderId="0" xfId="102" applyFont="1" applyFill="1" applyBorder="1" applyAlignment="1">
      <alignment horizontal="center" vertical="center"/>
      <protection/>
    </xf>
    <xf numFmtId="0" fontId="11" fillId="0" borderId="0" xfId="102" applyFont="1" applyFill="1" applyAlignment="1">
      <alignment vertical="center"/>
      <protection/>
    </xf>
    <xf numFmtId="0" fontId="11" fillId="0" borderId="54" xfId="102" applyFont="1" applyFill="1" applyBorder="1" applyAlignment="1">
      <alignment vertical="center"/>
      <protection/>
    </xf>
    <xf numFmtId="3" fontId="12" fillId="0" borderId="0" xfId="102" applyNumberFormat="1" applyFont="1" applyFill="1" applyBorder="1" applyAlignment="1">
      <alignment horizontal="center" vertical="center"/>
      <protection/>
    </xf>
    <xf numFmtId="0" fontId="16" fillId="0" borderId="39" xfId="102" applyFont="1" applyFill="1" applyBorder="1" applyAlignment="1">
      <alignment horizontal="center" vertical="center"/>
      <protection/>
    </xf>
    <xf numFmtId="0" fontId="16" fillId="0" borderId="26" xfId="102" applyFont="1" applyFill="1" applyBorder="1" applyAlignment="1">
      <alignment horizontal="center" vertical="center"/>
      <protection/>
    </xf>
    <xf numFmtId="0" fontId="16" fillId="0" borderId="61" xfId="102" applyFont="1" applyFill="1" applyBorder="1" applyAlignment="1">
      <alignment horizontal="center" vertical="center"/>
      <protection/>
    </xf>
    <xf numFmtId="0" fontId="13" fillId="0" borderId="0" xfId="102" applyFont="1" applyFill="1" applyAlignment="1">
      <alignment vertical="center"/>
      <protection/>
    </xf>
    <xf numFmtId="0" fontId="16" fillId="0" borderId="41" xfId="102" applyFont="1" applyFill="1" applyBorder="1" applyAlignment="1">
      <alignment horizontal="center" vertical="center"/>
      <protection/>
    </xf>
    <xf numFmtId="0" fontId="16" fillId="0" borderId="95" xfId="102" applyFont="1" applyFill="1" applyBorder="1" applyAlignment="1">
      <alignment horizontal="center" vertical="center"/>
      <protection/>
    </xf>
    <xf numFmtId="3" fontId="16" fillId="0" borderId="48" xfId="102" applyNumberFormat="1" applyFont="1" applyFill="1" applyBorder="1" applyAlignment="1">
      <alignment horizontal="center" vertical="center"/>
      <protection/>
    </xf>
    <xf numFmtId="3" fontId="16" fillId="0" borderId="38" xfId="102" applyNumberFormat="1" applyFont="1" applyFill="1" applyBorder="1" applyAlignment="1">
      <alignment horizontal="center" vertical="center" wrapText="1"/>
      <protection/>
    </xf>
    <xf numFmtId="3" fontId="16" fillId="0" borderId="38" xfId="102" applyNumberFormat="1" applyFont="1" applyFill="1" applyBorder="1" applyAlignment="1">
      <alignment horizontal="center" vertical="center"/>
      <protection/>
    </xf>
    <xf numFmtId="3" fontId="16" fillId="0" borderId="56" xfId="102" applyNumberFormat="1" applyFont="1" applyFill="1" applyBorder="1" applyAlignment="1">
      <alignment horizontal="center" vertical="center"/>
      <protection/>
    </xf>
    <xf numFmtId="0" fontId="11" fillId="0" borderId="20" xfId="102" applyFont="1" applyFill="1" applyBorder="1" applyAlignment="1">
      <alignment horizontal="center" vertical="center"/>
      <protection/>
    </xf>
    <xf numFmtId="0" fontId="14" fillId="0" borderId="66" xfId="102" applyFont="1" applyFill="1" applyBorder="1" applyAlignment="1">
      <alignment horizontal="center" vertical="center"/>
      <protection/>
    </xf>
    <xf numFmtId="0" fontId="16" fillId="0" borderId="0" xfId="102" applyFont="1" applyFill="1" applyBorder="1" applyAlignment="1">
      <alignment horizontal="center" vertical="center"/>
      <protection/>
    </xf>
    <xf numFmtId="3" fontId="11" fillId="0" borderId="0" xfId="102" applyNumberFormat="1" applyFont="1" applyFill="1" applyAlignment="1">
      <alignment vertical="center"/>
      <protection/>
    </xf>
    <xf numFmtId="0" fontId="127" fillId="0" borderId="0" xfId="102" applyFont="1" applyFill="1" applyAlignment="1">
      <alignment vertical="center"/>
      <protection/>
    </xf>
    <xf numFmtId="0" fontId="11" fillId="0" borderId="0" xfId="102" applyFont="1" applyFill="1" applyAlignment="1">
      <alignment horizontal="center" vertical="center"/>
      <protection/>
    </xf>
    <xf numFmtId="0" fontId="16" fillId="0" borderId="48" xfId="102" applyFont="1" applyFill="1" applyBorder="1" applyAlignment="1">
      <alignment horizontal="center" vertical="center"/>
      <protection/>
    </xf>
    <xf numFmtId="0" fontId="16" fillId="0" borderId="38" xfId="102" applyFont="1" applyFill="1" applyBorder="1" applyAlignment="1">
      <alignment horizontal="center" vertical="center"/>
      <protection/>
    </xf>
    <xf numFmtId="0" fontId="16" fillId="0" borderId="68" xfId="102" applyFont="1" applyFill="1" applyBorder="1" applyAlignment="1">
      <alignment horizontal="center" vertical="center"/>
      <protection/>
    </xf>
    <xf numFmtId="0" fontId="11" fillId="0" borderId="19" xfId="102" applyFont="1" applyFill="1" applyBorder="1" applyAlignment="1">
      <alignment horizontal="center" vertical="center"/>
      <protection/>
    </xf>
    <xf numFmtId="3" fontId="15" fillId="0" borderId="43" xfId="102" applyNumberFormat="1" applyFont="1" applyFill="1" applyBorder="1" applyAlignment="1">
      <alignment vertical="center"/>
      <protection/>
    </xf>
    <xf numFmtId="0" fontId="11" fillId="0" borderId="25" xfId="102" applyFont="1" applyFill="1" applyBorder="1" applyAlignment="1">
      <alignment horizontal="center" vertical="center"/>
      <protection/>
    </xf>
    <xf numFmtId="0" fontId="127" fillId="0" borderId="0" xfId="102" applyFont="1" applyFill="1" applyAlignment="1">
      <alignment vertical="center"/>
      <protection/>
    </xf>
    <xf numFmtId="3" fontId="83" fillId="0" borderId="22" xfId="101" applyNumberFormat="1" applyFont="1" applyFill="1" applyBorder="1">
      <alignment/>
      <protection/>
    </xf>
    <xf numFmtId="0" fontId="15" fillId="0" borderId="20" xfId="102" applyFont="1" applyFill="1" applyBorder="1" applyAlignment="1">
      <alignment horizontal="left" wrapText="1"/>
      <protection/>
    </xf>
    <xf numFmtId="0" fontId="11" fillId="0" borderId="28" xfId="102" applyFont="1" applyBorder="1" applyAlignment="1">
      <alignment horizontal="center" vertical="center"/>
      <protection/>
    </xf>
    <xf numFmtId="3" fontId="68" fillId="0" borderId="28" xfId="103" applyNumberFormat="1" applyFont="1" applyFill="1" applyBorder="1">
      <alignment/>
      <protection/>
    </xf>
    <xf numFmtId="3" fontId="68" fillId="0" borderId="27" xfId="103" applyNumberFormat="1" applyFont="1" applyFill="1" applyBorder="1">
      <alignment/>
      <protection/>
    </xf>
    <xf numFmtId="10" fontId="68" fillId="0" borderId="59" xfId="103" applyNumberFormat="1" applyFont="1" applyFill="1" applyBorder="1" applyAlignment="1">
      <alignment vertical="top"/>
      <protection/>
    </xf>
    <xf numFmtId="3" fontId="68" fillId="0" borderId="59" xfId="103" applyNumberFormat="1" applyFont="1" applyFill="1" applyBorder="1">
      <alignment/>
      <protection/>
    </xf>
    <xf numFmtId="0" fontId="11" fillId="0" borderId="0" xfId="102" applyFont="1" applyFill="1" applyAlignment="1">
      <alignment wrapText="1"/>
      <protection/>
    </xf>
    <xf numFmtId="0" fontId="34" fillId="0" borderId="0" xfId="102" applyFont="1" applyFill="1">
      <alignment/>
      <protection/>
    </xf>
    <xf numFmtId="3" fontId="34" fillId="0" borderId="0" xfId="102" applyNumberFormat="1" applyFont="1" applyFill="1">
      <alignment/>
      <protection/>
    </xf>
    <xf numFmtId="0" fontId="18" fillId="0" borderId="0" xfId="102" applyFont="1" applyFill="1" applyAlignment="1">
      <alignment wrapText="1"/>
      <protection/>
    </xf>
    <xf numFmtId="3" fontId="11" fillId="0" borderId="0" xfId="102" applyNumberFormat="1" applyFont="1" applyFill="1">
      <alignment/>
      <protection/>
    </xf>
    <xf numFmtId="3" fontId="15" fillId="0" borderId="0" xfId="102" applyNumberFormat="1" applyFont="1" applyFill="1">
      <alignment/>
      <protection/>
    </xf>
    <xf numFmtId="0" fontId="12" fillId="0" borderId="25" xfId="102" applyFont="1" applyFill="1" applyBorder="1" applyAlignment="1">
      <alignment horizontal="center" vertical="center" wrapText="1"/>
      <protection/>
    </xf>
    <xf numFmtId="0" fontId="12" fillId="0" borderId="20" xfId="102" applyFont="1" applyFill="1" applyBorder="1" applyAlignment="1">
      <alignment horizontal="center" vertical="center"/>
      <protection/>
    </xf>
    <xf numFmtId="0" fontId="12" fillId="0" borderId="23" xfId="102" applyFont="1" applyFill="1" applyBorder="1" applyAlignment="1">
      <alignment horizontal="center" vertical="center"/>
      <protection/>
    </xf>
    <xf numFmtId="0" fontId="12" fillId="0" borderId="42" xfId="102" applyFont="1" applyFill="1" applyBorder="1" applyAlignment="1">
      <alignment horizontal="center" vertical="center"/>
      <protection/>
    </xf>
    <xf numFmtId="0" fontId="12" fillId="0" borderId="42" xfId="102" applyFont="1" applyFill="1" applyBorder="1" applyAlignment="1">
      <alignment horizontal="center" vertical="center" wrapText="1"/>
      <protection/>
    </xf>
    <xf numFmtId="0" fontId="12" fillId="0" borderId="77" xfId="102" applyFont="1" applyFill="1" applyBorder="1" applyAlignment="1">
      <alignment horizontal="center" vertical="center" wrapText="1"/>
      <protection/>
    </xf>
    <xf numFmtId="0" fontId="12" fillId="0" borderId="77" xfId="102" applyFont="1" applyFill="1" applyBorder="1" applyAlignment="1">
      <alignment horizontal="center" vertical="center"/>
      <protection/>
    </xf>
    <xf numFmtId="0" fontId="12" fillId="0" borderId="34" xfId="102" applyFont="1" applyFill="1" applyBorder="1" applyAlignment="1">
      <alignment horizontal="center" vertical="center"/>
      <protection/>
    </xf>
    <xf numFmtId="0" fontId="12" fillId="0" borderId="21" xfId="102" applyFont="1" applyFill="1" applyBorder="1" applyAlignment="1">
      <alignment wrapText="1"/>
      <protection/>
    </xf>
    <xf numFmtId="3" fontId="18" fillId="0" borderId="24" xfId="102" applyNumberFormat="1" applyFont="1" applyFill="1" applyBorder="1" applyAlignment="1">
      <alignment horizontal="right"/>
      <protection/>
    </xf>
    <xf numFmtId="3" fontId="18" fillId="0" borderId="94" xfId="102" applyNumberFormat="1" applyFont="1" applyFill="1" applyBorder="1" applyAlignment="1">
      <alignment horizontal="right"/>
      <protection/>
    </xf>
    <xf numFmtId="3" fontId="18" fillId="0" borderId="93" xfId="102" applyNumberFormat="1" applyFont="1" applyFill="1" applyBorder="1" applyAlignment="1">
      <alignment horizontal="right"/>
      <protection/>
    </xf>
    <xf numFmtId="3" fontId="18" fillId="0" borderId="49" xfId="102" applyNumberFormat="1" applyFont="1" applyFill="1" applyBorder="1" applyAlignment="1">
      <alignment horizontal="right"/>
      <protection/>
    </xf>
    <xf numFmtId="3" fontId="58" fillId="0" borderId="0" xfId="101" applyNumberFormat="1" applyFont="1" applyFill="1" applyAlignment="1">
      <alignment vertical="center"/>
      <protection/>
    </xf>
    <xf numFmtId="3" fontId="26" fillId="51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37" xfId="102" applyNumberFormat="1" applyFont="1" applyFill="1" applyBorder="1" applyAlignment="1">
      <alignment horizontal="center" vertical="center"/>
      <protection/>
    </xf>
    <xf numFmtId="3" fontId="16" fillId="0" borderId="68" xfId="102" applyNumberFormat="1" applyFont="1" applyFill="1" applyBorder="1" applyAlignment="1">
      <alignment horizontal="center" vertical="center"/>
      <protection/>
    </xf>
    <xf numFmtId="0" fontId="12" fillId="0" borderId="21" xfId="102" applyFont="1" applyFill="1" applyBorder="1" applyAlignment="1">
      <alignment vertical="center" wrapText="1"/>
      <protection/>
    </xf>
    <xf numFmtId="3" fontId="18" fillId="0" borderId="24" xfId="68" applyNumberFormat="1" applyFont="1" applyFill="1" applyBorder="1" applyAlignment="1">
      <alignment horizontal="right" vertical="center"/>
    </xf>
    <xf numFmtId="10" fontId="18" fillId="0" borderId="49" xfId="102" applyNumberFormat="1" applyFont="1" applyFill="1" applyBorder="1" applyAlignment="1">
      <alignment horizontal="right"/>
      <protection/>
    </xf>
    <xf numFmtId="3" fontId="18" fillId="0" borderId="93" xfId="68" applyNumberFormat="1" applyFont="1" applyFill="1" applyBorder="1" applyAlignment="1">
      <alignment horizontal="right" vertical="center"/>
    </xf>
    <xf numFmtId="0" fontId="15" fillId="0" borderId="0" xfId="102" applyFont="1" applyFill="1" applyAlignment="1">
      <alignment wrapText="1"/>
      <protection/>
    </xf>
    <xf numFmtId="0" fontId="15" fillId="0" borderId="0" xfId="102" applyFont="1" applyFill="1">
      <alignment/>
      <protection/>
    </xf>
    <xf numFmtId="10" fontId="4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61" xfId="0" applyNumberFormat="1" applyFont="1" applyFill="1" applyBorder="1" applyAlignment="1" applyProtection="1">
      <alignment horizontal="right" vertical="center" wrapText="1" indent="1"/>
      <protection/>
    </xf>
    <xf numFmtId="10" fontId="46" fillId="0" borderId="72" xfId="0" applyNumberFormat="1" applyFont="1" applyFill="1" applyBorder="1" applyAlignment="1" applyProtection="1">
      <alignment horizontal="right" vertical="center" wrapText="1" indent="1"/>
      <protection/>
    </xf>
    <xf numFmtId="10" fontId="46" fillId="0" borderId="69" xfId="0" applyNumberFormat="1" applyFont="1" applyFill="1" applyBorder="1" applyAlignment="1" applyProtection="1">
      <alignment horizontal="right" vertical="center" wrapText="1" indent="1"/>
      <protection/>
    </xf>
    <xf numFmtId="10" fontId="46" fillId="0" borderId="66" xfId="0" applyNumberFormat="1" applyFont="1" applyFill="1" applyBorder="1" applyAlignment="1" applyProtection="1">
      <alignment horizontal="right" vertical="center" wrapText="1" indent="1"/>
      <protection/>
    </xf>
    <xf numFmtId="10" fontId="46" fillId="0" borderId="62" xfId="0" applyNumberFormat="1" applyFont="1" applyFill="1" applyBorder="1" applyAlignment="1" applyProtection="1">
      <alignment horizontal="right" vertical="center" wrapText="1" indent="1"/>
      <protection/>
    </xf>
    <xf numFmtId="10" fontId="46" fillId="0" borderId="95" xfId="0" applyNumberFormat="1" applyFont="1" applyFill="1" applyBorder="1" applyAlignment="1" applyProtection="1">
      <alignment horizontal="right" vertical="center" wrapText="1" indent="1"/>
      <protection locked="0"/>
    </xf>
    <xf numFmtId="10" fontId="38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0" fontId="38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0" fontId="38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0" fontId="38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0" fontId="38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97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102" applyFont="1" applyFill="1" applyAlignment="1">
      <alignment horizontal="left" wrapText="1"/>
      <protection/>
    </xf>
    <xf numFmtId="0" fontId="18" fillId="0" borderId="0" xfId="102" applyFont="1" applyFill="1" applyBorder="1" applyAlignment="1">
      <alignment horizontal="center"/>
      <protection/>
    </xf>
    <xf numFmtId="0" fontId="18" fillId="0" borderId="0" xfId="102" applyFont="1" applyFill="1" applyBorder="1" applyAlignment="1">
      <alignment horizontal="center" wrapText="1"/>
      <protection/>
    </xf>
    <xf numFmtId="0" fontId="12" fillId="0" borderId="0" xfId="102" applyFont="1" applyFill="1" applyBorder="1" applyAlignment="1">
      <alignment horizontal="center"/>
      <protection/>
    </xf>
    <xf numFmtId="0" fontId="11" fillId="0" borderId="54" xfId="102" applyFont="1" applyFill="1" applyBorder="1">
      <alignment/>
      <protection/>
    </xf>
    <xf numFmtId="0" fontId="11" fillId="0" borderId="0" xfId="102" applyFont="1" applyFill="1" applyBorder="1" applyAlignment="1">
      <alignment horizontal="left" wrapText="1"/>
      <protection/>
    </xf>
    <xf numFmtId="0" fontId="6" fillId="0" borderId="30" xfId="102" applyFont="1" applyFill="1" applyBorder="1" applyAlignment="1">
      <alignment horizontal="center" vertical="center"/>
      <protection/>
    </xf>
    <xf numFmtId="0" fontId="6" fillId="0" borderId="26" xfId="102" applyFont="1" applyFill="1" applyBorder="1" applyAlignment="1">
      <alignment horizontal="center" vertical="center" wrapText="1"/>
      <protection/>
    </xf>
    <xf numFmtId="0" fontId="6" fillId="0" borderId="37" xfId="102" applyFont="1" applyFill="1" applyBorder="1" applyAlignment="1">
      <alignment horizontal="center" vertical="center"/>
      <protection/>
    </xf>
    <xf numFmtId="0" fontId="6" fillId="0" borderId="39" xfId="102" applyFont="1" applyFill="1" applyBorder="1" applyAlignment="1">
      <alignment horizontal="center" vertical="center" wrapText="1"/>
      <protection/>
    </xf>
    <xf numFmtId="0" fontId="2" fillId="0" borderId="34" xfId="102" applyFont="1" applyFill="1" applyBorder="1" applyAlignment="1">
      <alignment horizontal="center" vertical="center"/>
      <protection/>
    </xf>
    <xf numFmtId="0" fontId="2" fillId="0" borderId="66" xfId="10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6" fillId="0" borderId="26" xfId="102" applyFont="1" applyFill="1" applyBorder="1" applyAlignment="1">
      <alignment vertical="center" wrapText="1"/>
      <protection/>
    </xf>
    <xf numFmtId="0" fontId="6" fillId="0" borderId="61" xfId="102" applyFont="1" applyFill="1" applyBorder="1" applyAlignment="1">
      <alignment vertical="center"/>
      <protection/>
    </xf>
    <xf numFmtId="3" fontId="3" fillId="0" borderId="39" xfId="102" applyNumberFormat="1" applyFont="1" applyFill="1" applyBorder="1" applyAlignment="1">
      <alignment vertical="center"/>
      <protection/>
    </xf>
    <xf numFmtId="3" fontId="13" fillId="0" borderId="0" xfId="102" applyNumberFormat="1" applyFont="1" applyFill="1" applyAlignment="1">
      <alignment vertical="center"/>
      <protection/>
    </xf>
    <xf numFmtId="0" fontId="13" fillId="0" borderId="0" xfId="102" applyFont="1" applyFill="1" applyAlignment="1">
      <alignment vertical="center"/>
      <protection/>
    </xf>
    <xf numFmtId="0" fontId="0" fillId="0" borderId="21" xfId="102" applyFont="1" applyFill="1" applyBorder="1" applyAlignment="1">
      <alignment horizontal="center" vertical="center"/>
      <protection/>
    </xf>
    <xf numFmtId="169" fontId="3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43" xfId="102" applyFont="1" applyFill="1" applyBorder="1" applyAlignment="1">
      <alignment horizontal="center" vertical="center"/>
      <protection/>
    </xf>
    <xf numFmtId="0" fontId="19" fillId="0" borderId="22" xfId="0" applyFont="1" applyFill="1" applyBorder="1" applyAlignment="1">
      <alignment/>
    </xf>
    <xf numFmtId="3" fontId="15" fillId="0" borderId="27" xfId="102" applyNumberFormat="1" applyFont="1" applyBorder="1" applyAlignment="1">
      <alignment horizontal="right" vertical="center"/>
      <protection/>
    </xf>
    <xf numFmtId="0" fontId="30" fillId="0" borderId="22" xfId="102" applyFont="1" applyBorder="1" applyAlignment="1">
      <alignment vertical="center" wrapText="1"/>
      <protection/>
    </xf>
    <xf numFmtId="0" fontId="30" fillId="0" borderId="29" xfId="102" applyFont="1" applyBorder="1" applyAlignment="1">
      <alignment vertical="center" wrapText="1"/>
      <protection/>
    </xf>
    <xf numFmtId="3" fontId="15" fillId="0" borderId="20" xfId="102" applyNumberFormat="1" applyFont="1" applyBorder="1" applyAlignment="1">
      <alignment horizontal="right" vertical="center"/>
      <protection/>
    </xf>
    <xf numFmtId="3" fontId="15" fillId="0" borderId="20" xfId="0" applyNumberFormat="1" applyFont="1" applyBorder="1" applyAlignment="1">
      <alignment vertical="center"/>
    </xf>
    <xf numFmtId="169" fontId="52" fillId="0" borderId="0" xfId="97" applyNumberFormat="1" applyAlignment="1">
      <alignment vertical="center" wrapText="1"/>
      <protection/>
    </xf>
    <xf numFmtId="169" fontId="52" fillId="0" borderId="0" xfId="97" applyNumberFormat="1" applyAlignment="1">
      <alignment horizontal="center" vertical="center" wrapText="1"/>
      <protection/>
    </xf>
    <xf numFmtId="169" fontId="29" fillId="0" borderId="0" xfId="97" applyNumberFormat="1" applyFont="1" applyAlignment="1">
      <alignment horizontal="right"/>
      <protection/>
    </xf>
    <xf numFmtId="169" fontId="25" fillId="0" borderId="0" xfId="97" applyNumberFormat="1" applyFont="1" applyAlignment="1">
      <alignment vertical="center"/>
      <protection/>
    </xf>
    <xf numFmtId="169" fontId="42" fillId="0" borderId="74" xfId="97" applyNumberFormat="1" applyFont="1" applyBorder="1" applyAlignment="1">
      <alignment horizontal="center" vertical="center"/>
      <protection/>
    </xf>
    <xf numFmtId="169" fontId="42" fillId="0" borderId="49" xfId="97" applyNumberFormat="1" applyFont="1" applyBorder="1" applyAlignment="1">
      <alignment horizontal="center" vertical="center" wrapText="1"/>
      <protection/>
    </xf>
    <xf numFmtId="169" fontId="25" fillId="0" borderId="0" xfId="97" applyNumberFormat="1" applyFont="1" applyAlignment="1">
      <alignment horizontal="center" vertical="center"/>
      <protection/>
    </xf>
    <xf numFmtId="169" fontId="46" fillId="0" borderId="30" xfId="97" applyNumberFormat="1" applyFont="1" applyBorder="1" applyAlignment="1">
      <alignment horizontal="center" vertical="center" wrapText="1"/>
      <protection/>
    </xf>
    <xf numFmtId="169" fontId="46" fillId="0" borderId="76" xfId="97" applyNumberFormat="1" applyFont="1" applyBorder="1" applyAlignment="1">
      <alignment horizontal="center" vertical="center" wrapText="1"/>
      <protection/>
    </xf>
    <xf numFmtId="169" fontId="46" fillId="0" borderId="61" xfId="97" applyNumberFormat="1" applyFont="1" applyBorder="1" applyAlignment="1">
      <alignment horizontal="center" vertical="center" wrapText="1"/>
      <protection/>
    </xf>
    <xf numFmtId="169" fontId="46" fillId="0" borderId="40" xfId="97" applyNumberFormat="1" applyFont="1" applyBorder="1" applyAlignment="1">
      <alignment horizontal="center" vertical="center" wrapText="1"/>
      <protection/>
    </xf>
    <xf numFmtId="169" fontId="46" fillId="0" borderId="78" xfId="97" applyNumberFormat="1" applyFont="1" applyBorder="1" applyAlignment="1">
      <alignment horizontal="center" vertical="center" wrapText="1"/>
      <protection/>
    </xf>
    <xf numFmtId="169" fontId="25" fillId="0" borderId="0" xfId="97" applyNumberFormat="1" applyFont="1" applyAlignment="1">
      <alignment horizontal="center" vertical="center" wrapText="1"/>
      <protection/>
    </xf>
    <xf numFmtId="169" fontId="46" fillId="0" borderId="76" xfId="97" applyNumberFormat="1" applyFont="1" applyBorder="1" applyAlignment="1">
      <alignment horizontal="left" vertical="center" wrapText="1" indent="1"/>
      <protection/>
    </xf>
    <xf numFmtId="49" fontId="100" fillId="0" borderId="26" xfId="97" applyNumberFormat="1" applyFont="1" applyBorder="1" applyAlignment="1" applyProtection="1">
      <alignment horizontal="center" vertical="center" wrapText="1"/>
      <protection locked="0"/>
    </xf>
    <xf numFmtId="169" fontId="100" fillId="0" borderId="76" xfId="97" applyNumberFormat="1" applyFont="1" applyBorder="1" applyAlignment="1">
      <alignment vertical="center" wrapText="1"/>
      <protection/>
    </xf>
    <xf numFmtId="169" fontId="100" fillId="0" borderId="39" xfId="97" applyNumberFormat="1" applyFont="1" applyBorder="1" applyAlignment="1">
      <alignment vertical="center" wrapText="1"/>
      <protection/>
    </xf>
    <xf numFmtId="169" fontId="100" fillId="0" borderId="26" xfId="97" applyNumberFormat="1" applyFont="1" applyBorder="1" applyAlignment="1">
      <alignment vertical="center" wrapText="1"/>
      <protection/>
    </xf>
    <xf numFmtId="169" fontId="100" fillId="0" borderId="40" xfId="97" applyNumberFormat="1" applyFont="1" applyBorder="1" applyAlignment="1">
      <alignment vertical="center" wrapText="1"/>
      <protection/>
    </xf>
    <xf numFmtId="169" fontId="38" fillId="0" borderId="76" xfId="97" applyNumberFormat="1" applyFont="1" applyBorder="1" applyAlignment="1">
      <alignment vertical="center" wrapText="1"/>
      <protection/>
    </xf>
    <xf numFmtId="169" fontId="38" fillId="0" borderId="77" xfId="97" applyNumberFormat="1" applyFont="1" applyBorder="1" applyAlignment="1" applyProtection="1">
      <alignment horizontal="left" vertical="center" wrapText="1" indent="1"/>
      <protection locked="0"/>
    </xf>
    <xf numFmtId="49" fontId="100" fillId="0" borderId="22" xfId="97" applyNumberFormat="1" applyFont="1" applyBorder="1" applyAlignment="1" applyProtection="1">
      <alignment horizontal="center" vertical="center" wrapText="1"/>
      <protection locked="0"/>
    </xf>
    <xf numFmtId="169" fontId="100" fillId="0" borderId="77" xfId="97" applyNumberFormat="1" applyFont="1" applyBorder="1" applyAlignment="1" applyProtection="1">
      <alignment vertical="center" wrapText="1"/>
      <protection locked="0"/>
    </xf>
    <xf numFmtId="169" fontId="100" fillId="0" borderId="20" xfId="97" applyNumberFormat="1" applyFont="1" applyBorder="1" applyAlignment="1" applyProtection="1">
      <alignment vertical="center" wrapText="1"/>
      <protection locked="0"/>
    </xf>
    <xf numFmtId="169" fontId="100" fillId="0" borderId="22" xfId="97" applyNumberFormat="1" applyFont="1" applyBorder="1" applyAlignment="1" applyProtection="1">
      <alignment vertical="center" wrapText="1"/>
      <protection locked="0"/>
    </xf>
    <xf numFmtId="169" fontId="100" fillId="0" borderId="23" xfId="97" applyNumberFormat="1" applyFont="1" applyBorder="1" applyAlignment="1" applyProtection="1">
      <alignment vertical="center" wrapText="1"/>
      <protection locked="0"/>
    </xf>
    <xf numFmtId="169" fontId="38" fillId="0" borderId="77" xfId="97" applyNumberFormat="1" applyFont="1" applyBorder="1" applyAlignment="1">
      <alignment vertical="center" wrapText="1"/>
      <protection/>
    </xf>
    <xf numFmtId="169" fontId="38" fillId="0" borderId="98" xfId="97" applyNumberFormat="1" applyFont="1" applyBorder="1" applyAlignment="1">
      <alignment horizontal="left" vertical="center" wrapText="1" indent="1"/>
      <protection/>
    </xf>
    <xf numFmtId="49" fontId="100" fillId="0" borderId="19" xfId="97" applyNumberFormat="1" applyFont="1" applyBorder="1" applyAlignment="1" applyProtection="1">
      <alignment horizontal="center" vertical="center" wrapText="1"/>
      <protection locked="0"/>
    </xf>
    <xf numFmtId="169" fontId="100" fillId="0" borderId="98" xfId="97" applyNumberFormat="1" applyFont="1" applyBorder="1" applyAlignment="1">
      <alignment vertical="center" wrapText="1"/>
      <protection/>
    </xf>
    <xf numFmtId="169" fontId="100" fillId="0" borderId="43" xfId="97" applyNumberFormat="1" applyFont="1" applyBorder="1" applyAlignment="1">
      <alignment vertical="center" wrapText="1"/>
      <protection/>
    </xf>
    <xf numFmtId="169" fontId="100" fillId="0" borderId="44" xfId="97" applyNumberFormat="1" applyFont="1" applyBorder="1" applyAlignment="1">
      <alignment vertical="center" wrapText="1"/>
      <protection/>
    </xf>
    <xf numFmtId="169" fontId="38" fillId="0" borderId="98" xfId="97" applyNumberFormat="1" applyFont="1" applyBorder="1" applyAlignment="1">
      <alignment vertical="center" wrapText="1"/>
      <protection/>
    </xf>
    <xf numFmtId="169" fontId="38" fillId="0" borderId="77" xfId="97" applyNumberFormat="1" applyFont="1" applyBorder="1" applyAlignment="1">
      <alignment horizontal="left" vertical="center" wrapText="1" indent="1"/>
      <protection/>
    </xf>
    <xf numFmtId="49" fontId="100" fillId="0" borderId="20" xfId="97" applyNumberFormat="1" applyFont="1" applyBorder="1" applyAlignment="1" applyProtection="1">
      <alignment horizontal="center" vertical="center" wrapText="1"/>
      <protection locked="0"/>
    </xf>
    <xf numFmtId="169" fontId="100" fillId="0" borderId="77" xfId="97" applyNumberFormat="1" applyFont="1" applyBorder="1" applyAlignment="1">
      <alignment vertical="center" wrapText="1"/>
      <protection/>
    </xf>
    <xf numFmtId="169" fontId="100" fillId="0" borderId="20" xfId="97" applyNumberFormat="1" applyFont="1" applyBorder="1" applyAlignment="1">
      <alignment vertical="center" wrapText="1"/>
      <protection/>
    </xf>
    <xf numFmtId="169" fontId="100" fillId="0" borderId="22" xfId="97" applyNumberFormat="1" applyFont="1" applyBorder="1" applyAlignment="1">
      <alignment vertical="center" wrapText="1"/>
      <protection/>
    </xf>
    <xf numFmtId="169" fontId="100" fillId="0" borderId="23" xfId="97" applyNumberFormat="1" applyFont="1" applyBorder="1" applyAlignment="1">
      <alignment vertical="center" wrapText="1"/>
      <protection/>
    </xf>
    <xf numFmtId="169" fontId="38" fillId="0" borderId="99" xfId="97" applyNumberFormat="1" applyFont="1" applyBorder="1" applyAlignment="1" applyProtection="1">
      <alignment horizontal="left" vertical="center" wrapText="1" indent="1"/>
      <protection locked="0"/>
    </xf>
    <xf numFmtId="49" fontId="100" fillId="0" borderId="21" xfId="97" applyNumberFormat="1" applyFont="1" applyBorder="1" applyAlignment="1" applyProtection="1">
      <alignment horizontal="center" vertical="center" wrapText="1"/>
      <protection locked="0"/>
    </xf>
    <xf numFmtId="169" fontId="100" fillId="0" borderId="99" xfId="97" applyNumberFormat="1" applyFont="1" applyBorder="1" applyAlignment="1">
      <alignment vertical="center" wrapText="1"/>
      <protection/>
    </xf>
    <xf numFmtId="169" fontId="100" fillId="0" borderId="21" xfId="97" applyNumberFormat="1" applyFont="1" applyBorder="1" applyAlignment="1">
      <alignment vertical="center" wrapText="1"/>
      <protection/>
    </xf>
    <xf numFmtId="169" fontId="100" fillId="0" borderId="24" xfId="97" applyNumberFormat="1" applyFont="1" applyBorder="1" applyAlignment="1">
      <alignment vertical="center" wrapText="1"/>
      <protection/>
    </xf>
    <xf numFmtId="169" fontId="100" fillId="0" borderId="49" xfId="97" applyNumberFormat="1" applyFont="1" applyBorder="1" applyAlignment="1">
      <alignment vertical="center" wrapText="1"/>
      <protection/>
    </xf>
    <xf numFmtId="169" fontId="38" fillId="0" borderId="99" xfId="97" applyNumberFormat="1" applyFont="1" applyBorder="1" applyAlignment="1">
      <alignment vertical="center" wrapText="1"/>
      <protection/>
    </xf>
    <xf numFmtId="169" fontId="100" fillId="0" borderId="19" xfId="97" applyNumberFormat="1" applyFont="1" applyBorder="1" applyAlignment="1" applyProtection="1">
      <alignment vertical="center" wrapText="1"/>
      <protection locked="0"/>
    </xf>
    <xf numFmtId="169" fontId="100" fillId="0" borderId="43" xfId="97" applyNumberFormat="1" applyFont="1" applyBorder="1" applyAlignment="1" applyProtection="1">
      <alignment vertical="center" wrapText="1"/>
      <protection locked="0"/>
    </xf>
    <xf numFmtId="169" fontId="100" fillId="0" borderId="44" xfId="97" applyNumberFormat="1" applyFont="1" applyBorder="1" applyAlignment="1" applyProtection="1">
      <alignment vertical="center" wrapText="1"/>
      <protection locked="0"/>
    </xf>
    <xf numFmtId="169" fontId="38" fillId="0" borderId="98" xfId="97" applyNumberFormat="1" applyFont="1" applyBorder="1" applyAlignment="1" applyProtection="1">
      <alignment horizontal="left" vertical="center" wrapText="1" indent="1"/>
      <protection locked="0"/>
    </xf>
    <xf numFmtId="169" fontId="100" fillId="0" borderId="98" xfId="97" applyNumberFormat="1" applyFont="1" applyBorder="1" applyAlignment="1" applyProtection="1">
      <alignment vertical="center" wrapText="1"/>
      <protection locked="0"/>
    </xf>
    <xf numFmtId="169" fontId="38" fillId="0" borderId="78" xfId="97" applyNumberFormat="1" applyFont="1" applyBorder="1" applyAlignment="1">
      <alignment horizontal="left" vertical="center" wrapText="1" indent="1"/>
      <protection/>
    </xf>
    <xf numFmtId="169" fontId="100" fillId="0" borderId="19" xfId="97" applyNumberFormat="1" applyFont="1" applyBorder="1" applyAlignment="1">
      <alignment vertical="center" wrapText="1"/>
      <protection/>
    </xf>
    <xf numFmtId="49" fontId="100" fillId="0" borderId="63" xfId="97" applyNumberFormat="1" applyFont="1" applyBorder="1" applyAlignment="1" applyProtection="1">
      <alignment horizontal="center" vertical="center" wrapText="1"/>
      <protection locked="0"/>
    </xf>
    <xf numFmtId="169" fontId="100" fillId="0" borderId="99" xfId="97" applyNumberFormat="1" applyFont="1" applyBorder="1" applyAlignment="1" applyProtection="1">
      <alignment vertical="center" wrapText="1"/>
      <protection locked="0"/>
    </xf>
    <xf numFmtId="169" fontId="100" fillId="0" borderId="21" xfId="97" applyNumberFormat="1" applyFont="1" applyBorder="1" applyAlignment="1" applyProtection="1">
      <alignment vertical="center" wrapText="1"/>
      <protection locked="0"/>
    </xf>
    <xf numFmtId="169" fontId="100" fillId="0" borderId="24" xfId="97" applyNumberFormat="1" applyFont="1" applyBorder="1" applyAlignment="1" applyProtection="1">
      <alignment vertical="center" wrapText="1"/>
      <protection locked="0"/>
    </xf>
    <xf numFmtId="169" fontId="100" fillId="0" borderId="49" xfId="97" applyNumberFormat="1" applyFont="1" applyBorder="1" applyAlignment="1" applyProtection="1">
      <alignment vertical="center" wrapText="1"/>
      <protection locked="0"/>
    </xf>
    <xf numFmtId="169" fontId="100" fillId="52" borderId="61" xfId="97" applyNumberFormat="1" applyFont="1" applyFill="1" applyBorder="1" applyAlignment="1">
      <alignment horizontal="left" vertical="center" wrapText="1" indent="2"/>
      <protection/>
    </xf>
    <xf numFmtId="3" fontId="11" fillId="0" borderId="25" xfId="102" applyNumberFormat="1" applyFont="1" applyFill="1" applyBorder="1" applyAlignment="1">
      <alignment vertical="center"/>
      <protection/>
    </xf>
    <xf numFmtId="0" fontId="19" fillId="0" borderId="0" xfId="0" applyFont="1" applyFill="1" applyAlignment="1">
      <alignment wrapText="1"/>
    </xf>
    <xf numFmtId="169" fontId="38" fillId="0" borderId="90" xfId="0" applyNumberFormat="1" applyFont="1" applyFill="1" applyBorder="1" applyAlignment="1" applyProtection="1">
      <alignment horizontal="right" vertical="center" wrapText="1" indent="1"/>
      <protection/>
    </xf>
    <xf numFmtId="0" fontId="42" fillId="0" borderId="30" xfId="0" applyFont="1" applyFill="1" applyBorder="1" applyAlignment="1" applyProtection="1">
      <alignment vertical="center" wrapText="1"/>
      <protection/>
    </xf>
    <xf numFmtId="0" fontId="42" fillId="0" borderId="37" xfId="0" applyFont="1" applyFill="1" applyBorder="1" applyAlignment="1" applyProtection="1">
      <alignment vertical="center" wrapText="1"/>
      <protection/>
    </xf>
    <xf numFmtId="3" fontId="15" fillId="0" borderId="32" xfId="102" applyNumberFormat="1" applyFont="1" applyFill="1" applyBorder="1" applyAlignment="1">
      <alignment horizontal="right" vertical="center"/>
      <protection/>
    </xf>
    <xf numFmtId="3" fontId="15" fillId="0" borderId="32" xfId="102" applyNumberFormat="1" applyFont="1" applyFill="1" applyBorder="1" applyAlignment="1">
      <alignment horizontal="right" vertical="center"/>
      <protection/>
    </xf>
    <xf numFmtId="3" fontId="12" fillId="0" borderId="37" xfId="102" applyNumberFormat="1" applyFont="1" applyFill="1" applyBorder="1" applyAlignment="1">
      <alignment horizontal="right" vertical="center"/>
      <protection/>
    </xf>
    <xf numFmtId="3" fontId="15" fillId="53" borderId="53" xfId="0" applyNumberFormat="1" applyFont="1" applyFill="1" applyBorder="1" applyAlignment="1">
      <alignment horizontal="right" vertical="center"/>
    </xf>
    <xf numFmtId="3" fontId="15" fillId="0" borderId="32" xfId="0" applyNumberFormat="1" applyFont="1" applyFill="1" applyBorder="1" applyAlignment="1">
      <alignment horizontal="right" vertical="center"/>
    </xf>
    <xf numFmtId="3" fontId="15" fillId="0" borderId="43" xfId="0" applyNumberFormat="1" applyFont="1" applyFill="1" applyBorder="1" applyAlignment="1">
      <alignment horizontal="right" vertical="center"/>
    </xf>
    <xf numFmtId="3" fontId="15" fillId="0" borderId="44" xfId="0" applyNumberFormat="1" applyFont="1" applyFill="1" applyBorder="1" applyAlignment="1">
      <alignment horizontal="right" vertical="center"/>
    </xf>
    <xf numFmtId="3" fontId="15" fillId="0" borderId="42" xfId="0" applyNumberFormat="1" applyFont="1" applyFill="1" applyBorder="1" applyAlignment="1">
      <alignment horizontal="right" vertical="center"/>
    </xf>
    <xf numFmtId="3" fontId="128" fillId="0" borderId="23" xfId="0" applyNumberFormat="1" applyFont="1" applyFill="1" applyBorder="1" applyAlignment="1">
      <alignment horizontal="right" vertical="center"/>
    </xf>
    <xf numFmtId="3" fontId="15" fillId="0" borderId="23" xfId="0" applyNumberFormat="1" applyFont="1" applyFill="1" applyBorder="1" applyAlignment="1">
      <alignment horizontal="right" vertical="center"/>
    </xf>
    <xf numFmtId="3" fontId="15" fillId="51" borderId="22" xfId="0" applyNumberFormat="1" applyFont="1" applyFill="1" applyBorder="1" applyAlignment="1">
      <alignment horizontal="right" vertical="center"/>
    </xf>
    <xf numFmtId="3" fontId="15" fillId="44" borderId="22" xfId="0" applyNumberFormat="1" applyFont="1" applyFill="1" applyBorder="1" applyAlignment="1">
      <alignment horizontal="right" vertical="center"/>
    </xf>
    <xf numFmtId="3" fontId="12" fillId="0" borderId="40" xfId="102" applyNumberFormat="1" applyFont="1" applyFill="1" applyBorder="1" applyAlignment="1">
      <alignment horizontal="right" vertical="center"/>
      <protection/>
    </xf>
    <xf numFmtId="3" fontId="15" fillId="0" borderId="22" xfId="0" applyNumberFormat="1" applyFont="1" applyBorder="1" applyAlignment="1">
      <alignment vertical="center"/>
    </xf>
    <xf numFmtId="3" fontId="15" fillId="0" borderId="22" xfId="102" applyNumberFormat="1" applyFont="1" applyBorder="1" applyAlignment="1">
      <alignment horizontal="right" vertical="center"/>
      <protection/>
    </xf>
    <xf numFmtId="3" fontId="15" fillId="0" borderId="23" xfId="102" applyNumberFormat="1" applyFont="1" applyFill="1" applyBorder="1" applyAlignment="1">
      <alignment horizontal="right" vertical="center"/>
      <protection/>
    </xf>
    <xf numFmtId="3" fontId="15" fillId="0" borderId="22" xfId="102" applyNumberFormat="1" applyFont="1" applyFill="1" applyBorder="1" applyAlignment="1">
      <alignment horizontal="right" vertical="center"/>
      <protection/>
    </xf>
    <xf numFmtId="3" fontId="15" fillId="0" borderId="23" xfId="102" applyNumberFormat="1" applyFont="1" applyFill="1" applyBorder="1" applyAlignment="1">
      <alignment horizontal="right" vertical="center"/>
      <protection/>
    </xf>
    <xf numFmtId="3" fontId="15" fillId="0" borderId="28" xfId="102" applyNumberFormat="1" applyFont="1" applyBorder="1" applyAlignment="1">
      <alignment horizontal="right" vertical="center"/>
      <protection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78" fillId="0" borderId="0" xfId="102" applyFont="1" applyAlignment="1">
      <alignment horizontal="right" vertical="center"/>
      <protection/>
    </xf>
    <xf numFmtId="3" fontId="79" fillId="0" borderId="0" xfId="0" applyNumberFormat="1" applyFont="1" applyFill="1" applyAlignment="1">
      <alignment horizontal="right"/>
    </xf>
    <xf numFmtId="3" fontId="80" fillId="0" borderId="0" xfId="0" applyNumberFormat="1" applyFont="1" applyBorder="1" applyAlignment="1">
      <alignment horizontal="right" vertical="center"/>
    </xf>
    <xf numFmtId="169" fontId="75" fillId="0" borderId="0" xfId="0" applyNumberFormat="1" applyFont="1" applyFill="1" applyAlignment="1">
      <alignment horizontal="right" vertical="center" wrapText="1"/>
    </xf>
    <xf numFmtId="0" fontId="17" fillId="0" borderId="0" xfId="102" applyFont="1" applyFill="1" applyAlignment="1">
      <alignment horizontal="right"/>
      <protection/>
    </xf>
    <xf numFmtId="3" fontId="77" fillId="0" borderId="0" xfId="102" applyNumberFormat="1" applyFont="1" applyAlignment="1">
      <alignment horizontal="right"/>
      <protection/>
    </xf>
    <xf numFmtId="3" fontId="77" fillId="0" borderId="0" xfId="102" applyNumberFormat="1" applyFont="1" applyAlignment="1">
      <alignment horizontal="right" vertical="center"/>
      <protection/>
    </xf>
    <xf numFmtId="0" fontId="81" fillId="0" borderId="0" xfId="102" applyFont="1" applyAlignment="1">
      <alignment horizontal="right"/>
      <protection/>
    </xf>
    <xf numFmtId="0" fontId="36" fillId="0" borderId="0" xfId="104" applyFont="1" applyFill="1" applyAlignment="1">
      <alignment horizontal="right" vertical="center"/>
      <protection/>
    </xf>
    <xf numFmtId="3" fontId="75" fillId="0" borderId="0" xfId="105" applyNumberFormat="1" applyFont="1" applyFill="1" applyAlignment="1" applyProtection="1">
      <alignment horizontal="right"/>
      <protection locked="0"/>
    </xf>
    <xf numFmtId="0" fontId="76" fillId="0" borderId="0" xfId="101" applyFont="1" applyFill="1" applyAlignment="1">
      <alignment horizontal="right" vertical="center"/>
      <protection/>
    </xf>
    <xf numFmtId="49" fontId="33" fillId="0" borderId="0" xfId="0" applyNumberFormat="1" applyFont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2" xfId="0" applyFont="1" applyBorder="1" applyAlignment="1">
      <alignment wrapText="1"/>
    </xf>
    <xf numFmtId="0" fontId="7" fillId="0" borderId="70" xfId="0" applyFont="1" applyBorder="1" applyAlignment="1">
      <alignment wrapText="1"/>
    </xf>
    <xf numFmtId="0" fontId="7" fillId="0" borderId="67" xfId="0" applyFont="1" applyBorder="1" applyAlignment="1">
      <alignment horizontal="left" wrapText="1"/>
    </xf>
    <xf numFmtId="0" fontId="7" fillId="0" borderId="94" xfId="0" applyFont="1" applyBorder="1" applyAlignment="1">
      <alignment horizontal="left" wrapText="1"/>
    </xf>
    <xf numFmtId="0" fontId="7" fillId="0" borderId="70" xfId="0" applyFont="1" applyFill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7" fillId="0" borderId="53" xfId="0" applyFont="1" applyFill="1" applyBorder="1" applyAlignment="1">
      <alignment horizontal="left" vertical="center" wrapText="1"/>
    </xf>
    <xf numFmtId="0" fontId="7" fillId="0" borderId="53" xfId="0" applyFont="1" applyBorder="1" applyAlignment="1">
      <alignment horizontal="left" wrapText="1"/>
    </xf>
    <xf numFmtId="0" fontId="7" fillId="0" borderId="100" xfId="0" applyFont="1" applyBorder="1" applyAlignment="1">
      <alignment horizontal="left" wrapText="1"/>
    </xf>
    <xf numFmtId="49" fontId="7" fillId="0" borderId="30" xfId="0" applyNumberFormat="1" applyFont="1" applyBorder="1" applyAlignment="1">
      <alignment horizontal="left" vertical="center"/>
    </xf>
    <xf numFmtId="49" fontId="7" fillId="0" borderId="37" xfId="0" applyNumberFormat="1" applyFont="1" applyBorder="1" applyAlignment="1">
      <alignment horizontal="left" vertical="center"/>
    </xf>
    <xf numFmtId="0" fontId="7" fillId="0" borderId="67" xfId="0" applyFont="1" applyFill="1" applyBorder="1" applyAlignment="1">
      <alignment horizontal="left" vertical="center" wrapText="1"/>
    </xf>
    <xf numFmtId="0" fontId="7" fillId="0" borderId="94" xfId="0" applyFont="1" applyFill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6" fillId="0" borderId="22" xfId="104" applyFont="1" applyFill="1" applyBorder="1" applyAlignment="1">
      <alignment horizontal="left"/>
      <protection/>
    </xf>
    <xf numFmtId="0" fontId="39" fillId="0" borderId="0" xfId="104" applyFont="1" applyFill="1" applyBorder="1" applyAlignment="1">
      <alignment horizontal="center" wrapText="1"/>
      <protection/>
    </xf>
    <xf numFmtId="0" fontId="25" fillId="0" borderId="61" xfId="104" applyFont="1" applyFill="1" applyBorder="1" applyAlignment="1" applyProtection="1">
      <alignment horizontal="left" vertical="center" wrapText="1"/>
      <protection/>
    </xf>
    <xf numFmtId="0" fontId="25" fillId="0" borderId="37" xfId="104" applyFont="1" applyFill="1" applyBorder="1" applyAlignment="1" applyProtection="1">
      <alignment horizontal="left" vertical="center" wrapText="1"/>
      <protection/>
    </xf>
    <xf numFmtId="0" fontId="25" fillId="0" borderId="50" xfId="104" applyFont="1" applyFill="1" applyBorder="1" applyAlignment="1" applyProtection="1">
      <alignment horizontal="left" vertical="center" wrapText="1"/>
      <protection/>
    </xf>
    <xf numFmtId="169" fontId="53" fillId="0" borderId="0" xfId="104" applyNumberFormat="1" applyFont="1" applyFill="1" applyBorder="1" applyAlignment="1" applyProtection="1">
      <alignment horizontal="left" vertical="center"/>
      <protection/>
    </xf>
    <xf numFmtId="0" fontId="27" fillId="0" borderId="66" xfId="104" applyFont="1" applyFill="1" applyBorder="1" applyAlignment="1" applyProtection="1">
      <alignment horizontal="left" vertical="center" wrapText="1"/>
      <protection/>
    </xf>
    <xf numFmtId="0" fontId="27" fillId="0" borderId="32" xfId="104" applyFont="1" applyFill="1" applyBorder="1" applyAlignment="1" applyProtection="1">
      <alignment horizontal="left" vertical="center" wrapText="1"/>
      <protection/>
    </xf>
    <xf numFmtId="0" fontId="27" fillId="0" borderId="90" xfId="104" applyFont="1" applyFill="1" applyBorder="1" applyAlignment="1" applyProtection="1">
      <alignment horizontal="left" vertical="center" wrapText="1"/>
      <protection/>
    </xf>
    <xf numFmtId="0" fontId="27" fillId="0" borderId="73" xfId="104" applyFont="1" applyFill="1" applyBorder="1" applyAlignment="1" applyProtection="1">
      <alignment horizontal="left" vertical="center" wrapText="1"/>
      <protection/>
    </xf>
    <xf numFmtId="0" fontId="27" fillId="0" borderId="54" xfId="104" applyFont="1" applyFill="1" applyBorder="1" applyAlignment="1" applyProtection="1">
      <alignment horizontal="left" vertical="center" wrapText="1"/>
      <protection/>
    </xf>
    <xf numFmtId="0" fontId="27" fillId="0" borderId="92" xfId="104" applyFont="1" applyFill="1" applyBorder="1" applyAlignment="1" applyProtection="1">
      <alignment horizontal="left" vertical="center" wrapText="1"/>
      <protection/>
    </xf>
    <xf numFmtId="0" fontId="27" fillId="0" borderId="72" xfId="104" applyFont="1" applyFill="1" applyBorder="1" applyAlignment="1" applyProtection="1">
      <alignment horizontal="left" vertical="center" wrapText="1"/>
      <protection/>
    </xf>
    <xf numFmtId="0" fontId="27" fillId="0" borderId="53" xfId="104" applyFont="1" applyFill="1" applyBorder="1" applyAlignment="1" applyProtection="1">
      <alignment horizontal="left" vertical="center" wrapText="1"/>
      <protection/>
    </xf>
    <xf numFmtId="0" fontId="27" fillId="0" borderId="91" xfId="104" applyFont="1" applyFill="1" applyBorder="1" applyAlignment="1" applyProtection="1">
      <alignment horizontal="left" vertical="center" wrapText="1"/>
      <protection/>
    </xf>
    <xf numFmtId="0" fontId="36" fillId="0" borderId="24" xfId="104" applyFont="1" applyFill="1" applyBorder="1" applyAlignment="1">
      <alignment horizontal="left"/>
      <protection/>
    </xf>
    <xf numFmtId="0" fontId="27" fillId="0" borderId="74" xfId="104" applyFont="1" applyFill="1" applyBorder="1" applyAlignment="1" applyProtection="1">
      <alignment horizontal="left" vertical="center" wrapText="1"/>
      <protection/>
    </xf>
    <xf numFmtId="0" fontId="27" fillId="0" borderId="67" xfId="104" applyFont="1" applyFill="1" applyBorder="1" applyAlignment="1" applyProtection="1">
      <alignment horizontal="left" vertical="center" wrapText="1"/>
      <protection/>
    </xf>
    <xf numFmtId="0" fontId="27" fillId="0" borderId="93" xfId="104" applyFont="1" applyFill="1" applyBorder="1" applyAlignment="1" applyProtection="1">
      <alignment horizontal="left" vertical="center" wrapText="1"/>
      <protection/>
    </xf>
    <xf numFmtId="0" fontId="25" fillId="0" borderId="43" xfId="104" applyFont="1" applyFill="1" applyBorder="1" applyAlignment="1">
      <alignment horizontal="left"/>
      <protection/>
    </xf>
    <xf numFmtId="0" fontId="27" fillId="0" borderId="22" xfId="104" applyFont="1" applyFill="1" applyBorder="1" applyAlignment="1">
      <alignment horizontal="left"/>
      <protection/>
    </xf>
    <xf numFmtId="0" fontId="39" fillId="0" borderId="0" xfId="104" applyFont="1" applyFill="1" applyAlignment="1">
      <alignment horizontal="center" wrapText="1"/>
      <protection/>
    </xf>
    <xf numFmtId="0" fontId="53" fillId="0" borderId="0" xfId="104" applyFont="1" applyFill="1" applyBorder="1" applyAlignment="1">
      <alignment horizontal="left"/>
      <protection/>
    </xf>
    <xf numFmtId="0" fontId="39" fillId="0" borderId="0" xfId="104" applyFont="1" applyFill="1" applyAlignment="1">
      <alignment horizontal="center"/>
      <protection/>
    </xf>
    <xf numFmtId="0" fontId="7" fillId="0" borderId="32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left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49" fontId="7" fillId="0" borderId="62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 wrapText="1"/>
    </xf>
    <xf numFmtId="49" fontId="3" fillId="0" borderId="68" xfId="0" applyNumberFormat="1" applyFont="1" applyBorder="1" applyAlignment="1">
      <alignment horizontal="center" vertical="center"/>
    </xf>
    <xf numFmtId="169" fontId="53" fillId="0" borderId="54" xfId="104" applyNumberFormat="1" applyFont="1" applyFill="1" applyBorder="1" applyAlignment="1" applyProtection="1">
      <alignment horizontal="left" vertical="center"/>
      <protection/>
    </xf>
    <xf numFmtId="0" fontId="21" fillId="0" borderId="0" xfId="102" applyFont="1" applyAlignment="1">
      <alignment horizontal="center" vertical="center"/>
      <protection/>
    </xf>
    <xf numFmtId="0" fontId="22" fillId="0" borderId="54" xfId="102" applyFont="1" applyBorder="1" applyAlignment="1">
      <alignment horizontal="center" vertical="center"/>
      <protection/>
    </xf>
    <xf numFmtId="0" fontId="22" fillId="0" borderId="0" xfId="102" applyFont="1" applyBorder="1" applyAlignment="1">
      <alignment horizontal="center" vertical="center"/>
      <protection/>
    </xf>
    <xf numFmtId="0" fontId="78" fillId="0" borderId="0" xfId="102" applyFont="1" applyAlignment="1">
      <alignment horizontal="right" vertical="center"/>
      <protection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left" vertical="center"/>
    </xf>
    <xf numFmtId="49" fontId="7" fillId="0" borderId="37" xfId="0" applyNumberFormat="1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wrapText="1"/>
    </xf>
    <xf numFmtId="3" fontId="79" fillId="0" borderId="0" xfId="0" applyNumberFormat="1" applyFont="1" applyFill="1" applyAlignment="1">
      <alignment horizontal="right"/>
    </xf>
    <xf numFmtId="0" fontId="7" fillId="0" borderId="67" xfId="0" applyFont="1" applyFill="1" applyBorder="1" applyAlignment="1">
      <alignment horizontal="left" wrapText="1"/>
    </xf>
    <xf numFmtId="0" fontId="7" fillId="0" borderId="53" xfId="0" applyFont="1" applyFill="1" applyBorder="1" applyAlignment="1">
      <alignment horizontal="left" wrapText="1"/>
    </xf>
    <xf numFmtId="49" fontId="33" fillId="0" borderId="0" xfId="0" applyNumberFormat="1" applyFont="1" applyFill="1" applyAlignment="1">
      <alignment horizontal="center" vertical="center"/>
    </xf>
    <xf numFmtId="3" fontId="80" fillId="0" borderId="0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49" fontId="7" fillId="0" borderId="67" xfId="0" applyNumberFormat="1" applyFont="1" applyBorder="1" applyAlignment="1">
      <alignment horizontal="left" vertical="center" wrapText="1"/>
    </xf>
    <xf numFmtId="49" fontId="7" fillId="0" borderId="94" xfId="0" applyNumberFormat="1" applyFont="1" applyBorder="1" applyAlignment="1">
      <alignment horizontal="left" vertical="center" wrapText="1"/>
    </xf>
    <xf numFmtId="169" fontId="75" fillId="0" borderId="0" xfId="0" applyNumberFormat="1" applyFont="1" applyFill="1" applyAlignment="1">
      <alignment horizontal="right" vertical="center" wrapText="1"/>
    </xf>
    <xf numFmtId="0" fontId="42" fillId="0" borderId="30" xfId="0" applyFont="1" applyFill="1" applyBorder="1" applyAlignment="1" applyProtection="1">
      <alignment horizontal="center" vertical="center" wrapText="1"/>
      <protection/>
    </xf>
    <xf numFmtId="0" fontId="42" fillId="0" borderId="50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42" fillId="0" borderId="61" xfId="0" applyFont="1" applyFill="1" applyBorder="1" applyAlignment="1" applyProtection="1">
      <alignment horizontal="center" vertical="center" wrapText="1"/>
      <protection/>
    </xf>
    <xf numFmtId="0" fontId="42" fillId="0" borderId="37" xfId="0" applyFont="1" applyFill="1" applyBorder="1" applyAlignment="1" applyProtection="1">
      <alignment horizontal="center" vertical="center" wrapText="1"/>
      <protection/>
    </xf>
    <xf numFmtId="0" fontId="42" fillId="0" borderId="39" xfId="0" applyFont="1" applyFill="1" applyBorder="1" applyAlignment="1" applyProtection="1">
      <alignment horizontal="center" vertical="center" wrapText="1"/>
      <protection/>
    </xf>
    <xf numFmtId="0" fontId="42" fillId="0" borderId="26" xfId="0" applyFont="1" applyFill="1" applyBorder="1" applyAlignment="1" applyProtection="1">
      <alignment horizontal="center" vertical="center" wrapText="1"/>
      <protection/>
    </xf>
    <xf numFmtId="0" fontId="42" fillId="0" borderId="40" xfId="0" applyFont="1" applyFill="1" applyBorder="1" applyAlignment="1" applyProtection="1">
      <alignment horizontal="center" vertical="center" wrapText="1"/>
      <protection/>
    </xf>
    <xf numFmtId="0" fontId="26" fillId="0" borderId="39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12" fillId="0" borderId="30" xfId="102" applyFont="1" applyFill="1" applyBorder="1" applyAlignment="1">
      <alignment horizontal="center" vertical="center"/>
      <protection/>
    </xf>
    <xf numFmtId="0" fontId="12" fillId="0" borderId="50" xfId="102" applyFont="1" applyFill="1" applyBorder="1" applyAlignment="1">
      <alignment horizontal="center" vertical="center"/>
      <protection/>
    </xf>
    <xf numFmtId="3" fontId="16" fillId="0" borderId="39" xfId="102" applyNumberFormat="1" applyFont="1" applyFill="1" applyBorder="1" applyAlignment="1">
      <alignment horizontal="center" vertical="center"/>
      <protection/>
    </xf>
    <xf numFmtId="3" fontId="16" fillId="0" borderId="26" xfId="102" applyNumberFormat="1" applyFont="1" applyFill="1" applyBorder="1" applyAlignment="1">
      <alignment horizontal="center" vertical="center"/>
      <protection/>
    </xf>
    <xf numFmtId="3" fontId="16" fillId="0" borderId="40" xfId="102" applyNumberFormat="1" applyFont="1" applyFill="1" applyBorder="1" applyAlignment="1">
      <alignment horizontal="center" vertical="center"/>
      <protection/>
    </xf>
    <xf numFmtId="0" fontId="16" fillId="0" borderId="39" xfId="102" applyFont="1" applyFill="1" applyBorder="1" applyAlignment="1">
      <alignment horizontal="center" vertical="center"/>
      <protection/>
    </xf>
    <xf numFmtId="0" fontId="16" fillId="0" borderId="26" xfId="102" applyFont="1" applyFill="1" applyBorder="1" applyAlignment="1">
      <alignment horizontal="center" vertical="center"/>
      <protection/>
    </xf>
    <xf numFmtId="0" fontId="16" fillId="0" borderId="40" xfId="102" applyFont="1" applyFill="1" applyBorder="1" applyAlignment="1">
      <alignment horizontal="center" vertical="center"/>
      <protection/>
    </xf>
    <xf numFmtId="0" fontId="12" fillId="0" borderId="37" xfId="102" applyFont="1" applyFill="1" applyBorder="1" applyAlignment="1">
      <alignment horizontal="center" vertical="center"/>
      <protection/>
    </xf>
    <xf numFmtId="0" fontId="14" fillId="0" borderId="0" xfId="102" applyFont="1" applyFill="1" applyAlignment="1">
      <alignment horizontal="center" vertical="center"/>
      <protection/>
    </xf>
    <xf numFmtId="0" fontId="12" fillId="0" borderId="54" xfId="102" applyFont="1" applyFill="1" applyBorder="1" applyAlignment="1">
      <alignment horizontal="right" vertical="center"/>
      <protection/>
    </xf>
    <xf numFmtId="0" fontId="3" fillId="0" borderId="30" xfId="102" applyFont="1" applyFill="1" applyBorder="1" applyAlignment="1">
      <alignment horizontal="center" vertical="center"/>
      <protection/>
    </xf>
    <xf numFmtId="0" fontId="3" fillId="0" borderId="50" xfId="102" applyFont="1" applyFill="1" applyBorder="1" applyAlignment="1">
      <alignment horizontal="center" vertical="center"/>
      <protection/>
    </xf>
    <xf numFmtId="0" fontId="18" fillId="0" borderId="0" xfId="102" applyFont="1" applyFill="1" applyBorder="1" applyAlignment="1">
      <alignment horizontal="center"/>
      <protection/>
    </xf>
    <xf numFmtId="0" fontId="12" fillId="0" borderId="0" xfId="102" applyFont="1" applyFill="1" applyBorder="1" applyAlignment="1">
      <alignment horizontal="center"/>
      <protection/>
    </xf>
    <xf numFmtId="0" fontId="17" fillId="0" borderId="0" xfId="102" applyFont="1" applyFill="1" applyAlignment="1">
      <alignment horizontal="right"/>
      <protection/>
    </xf>
    <xf numFmtId="0" fontId="17" fillId="0" borderId="54" xfId="102" applyFont="1" applyFill="1" applyBorder="1" applyAlignment="1">
      <alignment horizontal="right"/>
      <protection/>
    </xf>
    <xf numFmtId="3" fontId="77" fillId="0" borderId="0" xfId="102" applyNumberFormat="1" applyFont="1" applyAlignment="1">
      <alignment horizontal="right"/>
      <protection/>
    </xf>
    <xf numFmtId="0" fontId="64" fillId="0" borderId="0" xfId="102" applyFont="1" applyAlignment="1">
      <alignment horizontal="center"/>
      <protection/>
    </xf>
    <xf numFmtId="0" fontId="65" fillId="0" borderId="0" xfId="102" applyFont="1" applyAlignment="1">
      <alignment horizontal="center"/>
      <protection/>
    </xf>
    <xf numFmtId="0" fontId="19" fillId="0" borderId="0" xfId="102" applyFont="1" applyAlignment="1">
      <alignment horizontal="center"/>
      <protection/>
    </xf>
    <xf numFmtId="168" fontId="66" fillId="0" borderId="37" xfId="103" applyNumberFormat="1" applyFont="1" applyBorder="1" applyAlignment="1">
      <alignment horizontal="center" vertical="center" wrapText="1"/>
      <protection/>
    </xf>
    <xf numFmtId="3" fontId="77" fillId="0" borderId="54" xfId="102" applyNumberFormat="1" applyFont="1" applyBorder="1" applyAlignment="1">
      <alignment horizontal="right"/>
      <protection/>
    </xf>
    <xf numFmtId="3" fontId="66" fillId="0" borderId="39" xfId="103" applyNumberFormat="1" applyFont="1" applyBorder="1" applyAlignment="1">
      <alignment horizontal="center" vertical="center" wrapText="1"/>
      <protection/>
    </xf>
    <xf numFmtId="3" fontId="66" fillId="0" borderId="26" xfId="103" applyNumberFormat="1" applyFont="1" applyBorder="1" applyAlignment="1">
      <alignment horizontal="center" vertical="center" wrapText="1"/>
      <protection/>
    </xf>
    <xf numFmtId="3" fontId="66" fillId="0" borderId="40" xfId="103" applyNumberFormat="1" applyFont="1" applyBorder="1" applyAlignment="1">
      <alignment horizontal="center" vertical="center" wrapText="1"/>
      <protection/>
    </xf>
    <xf numFmtId="0" fontId="67" fillId="0" borderId="32" xfId="103" applyFont="1" applyFill="1" applyBorder="1" applyAlignment="1">
      <alignment horizontal="left"/>
      <protection/>
    </xf>
    <xf numFmtId="0" fontId="67" fillId="0" borderId="53" xfId="103" applyFont="1" applyFill="1" applyBorder="1" applyAlignment="1">
      <alignment horizontal="left"/>
      <protection/>
    </xf>
    <xf numFmtId="0" fontId="67" fillId="0" borderId="66" xfId="103" applyFont="1" applyFill="1" applyBorder="1" applyAlignment="1">
      <alignment horizontal="left" vertical="center" wrapText="1"/>
      <protection/>
    </xf>
    <xf numFmtId="0" fontId="67" fillId="0" borderId="32" xfId="103" applyFont="1" applyFill="1" applyBorder="1" applyAlignment="1">
      <alignment horizontal="left" vertical="center" wrapText="1"/>
      <protection/>
    </xf>
    <xf numFmtId="168" fontId="67" fillId="0" borderId="32" xfId="103" applyNumberFormat="1" applyFont="1" applyFill="1" applyBorder="1" applyAlignment="1">
      <alignment horizontal="left" wrapText="1"/>
      <protection/>
    </xf>
    <xf numFmtId="168" fontId="67" fillId="0" borderId="66" xfId="103" applyNumberFormat="1" applyFont="1" applyBorder="1" applyAlignment="1">
      <alignment horizontal="left" wrapText="1"/>
      <protection/>
    </xf>
    <xf numFmtId="168" fontId="67" fillId="0" borderId="32" xfId="103" applyNumberFormat="1" applyFont="1" applyBorder="1" applyAlignment="1">
      <alignment horizontal="left" wrapText="1"/>
      <protection/>
    </xf>
    <xf numFmtId="168" fontId="67" fillId="0" borderId="74" xfId="103" applyNumberFormat="1" applyFont="1" applyBorder="1" applyAlignment="1">
      <alignment horizontal="left" wrapText="1"/>
      <protection/>
    </xf>
    <xf numFmtId="168" fontId="67" fillId="0" borderId="67" xfId="103" applyNumberFormat="1" applyFont="1" applyBorder="1" applyAlignment="1">
      <alignment horizontal="left" wrapText="1"/>
      <protection/>
    </xf>
    <xf numFmtId="0" fontId="69" fillId="0" borderId="37" xfId="103" applyFont="1" applyBorder="1" applyAlignment="1">
      <alignment horizontal="center" vertical="center" wrapText="1"/>
      <protection/>
    </xf>
    <xf numFmtId="168" fontId="67" fillId="0" borderId="70" xfId="103" applyNumberFormat="1" applyFont="1" applyBorder="1" applyAlignment="1">
      <alignment horizontal="left" wrapText="1"/>
      <protection/>
    </xf>
    <xf numFmtId="3" fontId="77" fillId="0" borderId="0" xfId="102" applyNumberFormat="1" applyFont="1" applyAlignment="1">
      <alignment horizontal="right" vertical="center"/>
      <protection/>
    </xf>
    <xf numFmtId="0" fontId="70" fillId="0" borderId="0" xfId="102" applyFont="1" applyAlignment="1">
      <alignment horizontal="center" vertical="center" wrapText="1"/>
      <protection/>
    </xf>
    <xf numFmtId="0" fontId="70" fillId="0" borderId="0" xfId="102" applyFont="1" applyAlignment="1">
      <alignment horizontal="center" vertical="center"/>
      <protection/>
    </xf>
    <xf numFmtId="0" fontId="12" fillId="0" borderId="0" xfId="102" applyFont="1" applyFill="1" applyAlignment="1">
      <alignment horizontal="center" vertical="center"/>
      <protection/>
    </xf>
    <xf numFmtId="0" fontId="68" fillId="0" borderId="0" xfId="102" applyFont="1" applyAlignment="1">
      <alignment horizontal="center" vertical="center"/>
      <protection/>
    </xf>
    <xf numFmtId="0" fontId="23" fillId="50" borderId="79" xfId="102" applyFont="1" applyFill="1" applyBorder="1" applyAlignment="1">
      <alignment horizontal="center" vertical="center" wrapText="1"/>
      <protection/>
    </xf>
    <xf numFmtId="0" fontId="23" fillId="50" borderId="31" xfId="102" applyFont="1" applyFill="1" applyBorder="1" applyAlignment="1">
      <alignment horizontal="center" vertical="center" wrapText="1"/>
      <protection/>
    </xf>
    <xf numFmtId="0" fontId="23" fillId="50" borderId="86" xfId="102" applyFont="1" applyFill="1" applyBorder="1" applyAlignment="1">
      <alignment horizontal="center" vertical="center" wrapText="1"/>
      <protection/>
    </xf>
    <xf numFmtId="0" fontId="23" fillId="50" borderId="38" xfId="102" applyFont="1" applyFill="1" applyBorder="1" applyAlignment="1">
      <alignment horizontal="center" vertical="center" wrapText="1"/>
      <protection/>
    </xf>
    <xf numFmtId="0" fontId="23" fillId="50" borderId="52" xfId="102" applyFont="1" applyFill="1" applyBorder="1" applyAlignment="1">
      <alignment horizontal="center" vertical="center" wrapText="1"/>
      <protection/>
    </xf>
    <xf numFmtId="0" fontId="23" fillId="50" borderId="101" xfId="102" applyFont="1" applyFill="1" applyBorder="1" applyAlignment="1">
      <alignment horizontal="center" vertical="center" wrapText="1"/>
      <protection/>
    </xf>
    <xf numFmtId="3" fontId="23" fillId="50" borderId="71" xfId="102" applyNumberFormat="1" applyFont="1" applyFill="1" applyBorder="1" applyAlignment="1">
      <alignment horizontal="center" vertical="center" wrapText="1"/>
      <protection/>
    </xf>
    <xf numFmtId="3" fontId="23" fillId="50" borderId="68" xfId="102" applyNumberFormat="1" applyFont="1" applyFill="1" applyBorder="1" applyAlignment="1">
      <alignment horizontal="center" vertical="center" wrapText="1"/>
      <protection/>
    </xf>
    <xf numFmtId="3" fontId="23" fillId="50" borderId="57" xfId="102" applyNumberFormat="1" applyFont="1" applyFill="1" applyBorder="1" applyAlignment="1">
      <alignment horizontal="center" vertical="center" wrapText="1"/>
      <protection/>
    </xf>
    <xf numFmtId="3" fontId="23" fillId="50" borderId="95" xfId="102" applyNumberFormat="1" applyFont="1" applyFill="1" applyBorder="1" applyAlignment="1">
      <alignment horizontal="center" vertical="center" wrapText="1"/>
      <protection/>
    </xf>
    <xf numFmtId="3" fontId="23" fillId="50" borderId="0" xfId="102" applyNumberFormat="1" applyFont="1" applyFill="1" applyBorder="1" applyAlignment="1">
      <alignment horizontal="center" vertical="center" wrapText="1"/>
      <protection/>
    </xf>
    <xf numFmtId="3" fontId="23" fillId="50" borderId="89" xfId="102" applyNumberFormat="1" applyFont="1" applyFill="1" applyBorder="1" applyAlignment="1">
      <alignment horizontal="center" vertical="center" wrapText="1"/>
      <protection/>
    </xf>
    <xf numFmtId="3" fontId="23" fillId="50" borderId="102" xfId="102" applyNumberFormat="1" applyFont="1" applyFill="1" applyBorder="1" applyAlignment="1">
      <alignment horizontal="center" vertical="center" wrapText="1"/>
      <protection/>
    </xf>
    <xf numFmtId="3" fontId="23" fillId="50" borderId="103" xfId="102" applyNumberFormat="1" applyFont="1" applyFill="1" applyBorder="1" applyAlignment="1">
      <alignment horizontal="center" vertical="center" wrapText="1"/>
      <protection/>
    </xf>
    <xf numFmtId="3" fontId="23" fillId="50" borderId="104" xfId="102" applyNumberFormat="1" applyFont="1" applyFill="1" applyBorder="1" applyAlignment="1">
      <alignment horizontal="center" vertical="center" wrapText="1"/>
      <protection/>
    </xf>
    <xf numFmtId="3" fontId="23" fillId="50" borderId="75" xfId="102" applyNumberFormat="1" applyFont="1" applyFill="1" applyBorder="1" applyAlignment="1">
      <alignment horizontal="center" vertical="center" wrapText="1"/>
      <protection/>
    </xf>
    <xf numFmtId="3" fontId="23" fillId="50" borderId="88" xfId="102" applyNumberFormat="1" applyFont="1" applyFill="1" applyBorder="1" applyAlignment="1">
      <alignment horizontal="center" vertical="center" wrapText="1"/>
      <protection/>
    </xf>
    <xf numFmtId="3" fontId="23" fillId="50" borderId="105" xfId="102" applyNumberFormat="1" applyFont="1" applyFill="1" applyBorder="1" applyAlignment="1">
      <alignment horizontal="center" vertical="center" wrapText="1"/>
      <protection/>
    </xf>
    <xf numFmtId="0" fontId="70" fillId="0" borderId="54" xfId="102" applyFont="1" applyBorder="1" applyAlignment="1">
      <alignment horizontal="center" vertical="center" wrapText="1"/>
      <protection/>
    </xf>
    <xf numFmtId="0" fontId="21" fillId="0" borderId="0" xfId="102" applyFont="1" applyAlignment="1">
      <alignment horizontal="center"/>
      <protection/>
    </xf>
    <xf numFmtId="0" fontId="12" fillId="0" borderId="0" xfId="102" applyFont="1" applyAlignment="1">
      <alignment horizontal="center"/>
      <protection/>
    </xf>
    <xf numFmtId="0" fontId="14" fillId="0" borderId="0" xfId="102" applyFont="1" applyAlignment="1">
      <alignment horizontal="center"/>
      <protection/>
    </xf>
    <xf numFmtId="0" fontId="12" fillId="1" borderId="48" xfId="102" applyFont="1" applyFill="1" applyBorder="1" applyAlignment="1">
      <alignment horizontal="center" vertical="center" wrapText="1"/>
      <protection/>
    </xf>
    <xf numFmtId="0" fontId="12" fillId="1" borderId="25" xfId="102" applyFont="1" applyFill="1" applyBorder="1" applyAlignment="1">
      <alignment horizontal="center" vertical="center" wrapText="1"/>
      <protection/>
    </xf>
    <xf numFmtId="0" fontId="12" fillId="1" borderId="72" xfId="102" applyFont="1" applyFill="1" applyBorder="1" applyAlignment="1">
      <alignment horizontal="center" vertical="center"/>
      <protection/>
    </xf>
    <xf numFmtId="0" fontId="12" fillId="1" borderId="53" xfId="102" applyFont="1" applyFill="1" applyBorder="1" applyAlignment="1">
      <alignment horizontal="center" vertical="center"/>
      <protection/>
    </xf>
    <xf numFmtId="0" fontId="12" fillId="1" borderId="19" xfId="102" applyFont="1" applyFill="1" applyBorder="1" applyAlignment="1">
      <alignment horizontal="center" vertical="center"/>
      <protection/>
    </xf>
    <xf numFmtId="0" fontId="12" fillId="1" borderId="43" xfId="102" applyFont="1" applyFill="1" applyBorder="1" applyAlignment="1">
      <alignment horizontal="center" vertical="center"/>
      <protection/>
    </xf>
    <xf numFmtId="0" fontId="12" fillId="1" borderId="44" xfId="102" applyFont="1" applyFill="1" applyBorder="1" applyAlignment="1">
      <alignment horizontal="center" vertical="center"/>
      <protection/>
    </xf>
    <xf numFmtId="0" fontId="12" fillId="1" borderId="66" xfId="102" applyFont="1" applyFill="1" applyBorder="1" applyAlignment="1">
      <alignment horizontal="center" vertical="center"/>
      <protection/>
    </xf>
    <xf numFmtId="0" fontId="12" fillId="1" borderId="32" xfId="102" applyFont="1" applyFill="1" applyBorder="1" applyAlignment="1">
      <alignment horizontal="center" vertical="center"/>
      <protection/>
    </xf>
    <xf numFmtId="0" fontId="12" fillId="1" borderId="90" xfId="102" applyFont="1" applyFill="1" applyBorder="1" applyAlignment="1">
      <alignment horizontal="center" vertical="center"/>
      <protection/>
    </xf>
    <xf numFmtId="0" fontId="12" fillId="1" borderId="20" xfId="102" applyFont="1" applyFill="1" applyBorder="1" applyAlignment="1">
      <alignment horizontal="center" vertical="center"/>
      <protection/>
    </xf>
    <xf numFmtId="0" fontId="12" fillId="1" borderId="22" xfId="102" applyFont="1" applyFill="1" applyBorder="1" applyAlignment="1">
      <alignment horizontal="center" vertical="center"/>
      <protection/>
    </xf>
    <xf numFmtId="0" fontId="14" fillId="0" borderId="0" xfId="102" applyFont="1" applyFill="1" applyAlignment="1">
      <alignment horizontal="center" wrapText="1"/>
      <protection/>
    </xf>
    <xf numFmtId="0" fontId="12" fillId="1" borderId="23" xfId="102" applyFont="1" applyFill="1" applyBorder="1" applyAlignment="1">
      <alignment horizontal="center" vertical="center"/>
      <protection/>
    </xf>
    <xf numFmtId="0" fontId="81" fillId="0" borderId="0" xfId="102" applyFont="1" applyAlignment="1">
      <alignment horizontal="right"/>
      <protection/>
    </xf>
    <xf numFmtId="0" fontId="12" fillId="0" borderId="48" xfId="102" applyFont="1" applyFill="1" applyBorder="1" applyAlignment="1">
      <alignment horizontal="center" vertical="center" wrapText="1"/>
      <protection/>
    </xf>
    <xf numFmtId="0" fontId="12" fillId="0" borderId="25" xfId="102" applyFont="1" applyFill="1" applyBorder="1" applyAlignment="1">
      <alignment horizontal="center" vertical="center" wrapText="1"/>
      <protection/>
    </xf>
    <xf numFmtId="0" fontId="12" fillId="0" borderId="72" xfId="102" applyFont="1" applyFill="1" applyBorder="1" applyAlignment="1">
      <alignment horizontal="center" vertical="center"/>
      <protection/>
    </xf>
    <xf numFmtId="0" fontId="12" fillId="0" borderId="53" xfId="102" applyFont="1" applyFill="1" applyBorder="1" applyAlignment="1">
      <alignment horizontal="center" vertical="center"/>
      <protection/>
    </xf>
    <xf numFmtId="0" fontId="12" fillId="0" borderId="19" xfId="102" applyFont="1" applyFill="1" applyBorder="1" applyAlignment="1">
      <alignment horizontal="center" vertical="center"/>
      <protection/>
    </xf>
    <xf numFmtId="0" fontId="12" fillId="0" borderId="43" xfId="102" applyFont="1" applyFill="1" applyBorder="1" applyAlignment="1">
      <alignment horizontal="center" vertical="center"/>
      <protection/>
    </xf>
    <xf numFmtId="0" fontId="12" fillId="0" borderId="44" xfId="102" applyFont="1" applyFill="1" applyBorder="1" applyAlignment="1">
      <alignment horizontal="center" vertical="center"/>
      <protection/>
    </xf>
    <xf numFmtId="0" fontId="12" fillId="0" borderId="66" xfId="102" applyFont="1" applyFill="1" applyBorder="1" applyAlignment="1">
      <alignment horizontal="center" vertical="center"/>
      <protection/>
    </xf>
    <xf numFmtId="0" fontId="12" fillId="0" borderId="32" xfId="102" applyFont="1" applyFill="1" applyBorder="1" applyAlignment="1">
      <alignment horizontal="center" vertical="center"/>
      <protection/>
    </xf>
    <xf numFmtId="0" fontId="12" fillId="0" borderId="90" xfId="102" applyFont="1" applyFill="1" applyBorder="1" applyAlignment="1">
      <alignment horizontal="center" vertical="center"/>
      <protection/>
    </xf>
    <xf numFmtId="0" fontId="12" fillId="0" borderId="20" xfId="102" applyFont="1" applyFill="1" applyBorder="1" applyAlignment="1">
      <alignment horizontal="center" vertical="center"/>
      <protection/>
    </xf>
    <xf numFmtId="0" fontId="12" fillId="0" borderId="22" xfId="102" applyFont="1" applyFill="1" applyBorder="1" applyAlignment="1">
      <alignment horizontal="center" vertical="center"/>
      <protection/>
    </xf>
    <xf numFmtId="0" fontId="12" fillId="0" borderId="23" xfId="102" applyFont="1" applyFill="1" applyBorder="1" applyAlignment="1">
      <alignment horizontal="center" vertical="center"/>
      <protection/>
    </xf>
    <xf numFmtId="0" fontId="39" fillId="0" borderId="39" xfId="104" applyFont="1" applyFill="1" applyBorder="1" applyAlignment="1" applyProtection="1">
      <alignment horizontal="left" vertical="center"/>
      <protection/>
    </xf>
    <xf numFmtId="0" fontId="39" fillId="0" borderId="26" xfId="104" applyFont="1" applyFill="1" applyBorder="1" applyAlignment="1" applyProtection="1">
      <alignment horizontal="left" vertical="center"/>
      <protection/>
    </xf>
    <xf numFmtId="0" fontId="38" fillId="0" borderId="68" xfId="104" applyFont="1" applyFill="1" applyBorder="1" applyAlignment="1">
      <alignment horizontal="justify" vertical="center" wrapText="1"/>
      <protection/>
    </xf>
    <xf numFmtId="0" fontId="37" fillId="0" borderId="54" xfId="0" applyFont="1" applyFill="1" applyBorder="1" applyAlignment="1" applyProtection="1">
      <alignment horizontal="right" vertical="center"/>
      <protection/>
    </xf>
    <xf numFmtId="169" fontId="73" fillId="0" borderId="0" xfId="104" applyNumberFormat="1" applyFont="1" applyFill="1" applyBorder="1" applyAlignment="1" applyProtection="1">
      <alignment horizontal="center" vertical="center" wrapText="1"/>
      <protection/>
    </xf>
    <xf numFmtId="0" fontId="36" fillId="0" borderId="0" xfId="104" applyFont="1" applyFill="1" applyAlignment="1">
      <alignment horizontal="right" vertical="center"/>
      <protection/>
    </xf>
    <xf numFmtId="3" fontId="39" fillId="0" borderId="0" xfId="105" applyNumberFormat="1" applyFont="1" applyFill="1" applyAlignment="1" applyProtection="1">
      <alignment horizontal="center" wrapText="1"/>
      <protection/>
    </xf>
    <xf numFmtId="3" fontId="39" fillId="0" borderId="0" xfId="105" applyNumberFormat="1" applyFont="1" applyFill="1" applyAlignment="1" applyProtection="1">
      <alignment horizontal="center"/>
      <protection/>
    </xf>
    <xf numFmtId="3" fontId="53" fillId="0" borderId="61" xfId="105" applyNumberFormat="1" applyFont="1" applyFill="1" applyBorder="1" applyAlignment="1" applyProtection="1">
      <alignment horizontal="left" vertical="center" indent="1"/>
      <protection/>
    </xf>
    <xf numFmtId="3" fontId="53" fillId="0" borderId="37" xfId="105" applyNumberFormat="1" applyFont="1" applyFill="1" applyBorder="1" applyAlignment="1" applyProtection="1">
      <alignment horizontal="left" vertical="center" indent="1"/>
      <protection/>
    </xf>
    <xf numFmtId="3" fontId="53" fillId="0" borderId="51" xfId="105" applyNumberFormat="1" applyFont="1" applyFill="1" applyBorder="1" applyAlignment="1" applyProtection="1">
      <alignment horizontal="left" vertical="center" indent="1"/>
      <protection/>
    </xf>
    <xf numFmtId="3" fontId="75" fillId="0" borderId="0" xfId="105" applyNumberFormat="1" applyFont="1" applyFill="1" applyAlignment="1" applyProtection="1">
      <alignment horizontal="right"/>
      <protection locked="0"/>
    </xf>
    <xf numFmtId="10" fontId="1" fillId="0" borderId="27" xfId="101" applyNumberFormat="1" applyFont="1" applyBorder="1" applyAlignment="1">
      <alignment horizontal="center"/>
      <protection/>
    </xf>
    <xf numFmtId="10" fontId="1" fillId="0" borderId="52" xfId="101" applyNumberFormat="1" applyFont="1" applyBorder="1" applyAlignment="1">
      <alignment horizontal="center"/>
      <protection/>
    </xf>
    <xf numFmtId="10" fontId="1" fillId="0" borderId="46" xfId="101" applyNumberFormat="1" applyFont="1" applyBorder="1" applyAlignment="1">
      <alignment horizontal="center"/>
      <protection/>
    </xf>
    <xf numFmtId="10" fontId="58" fillId="0" borderId="38" xfId="101" applyNumberFormat="1" applyFont="1" applyBorder="1" applyAlignment="1">
      <alignment horizontal="center"/>
      <protection/>
    </xf>
    <xf numFmtId="10" fontId="58" fillId="0" borderId="46" xfId="101" applyNumberFormat="1" applyFont="1" applyBorder="1" applyAlignment="1">
      <alignment horizontal="center"/>
      <protection/>
    </xf>
    <xf numFmtId="10" fontId="58" fillId="0" borderId="38" xfId="101" applyNumberFormat="1" applyFont="1" applyFill="1" applyBorder="1" applyAlignment="1">
      <alignment horizontal="center"/>
      <protection/>
    </xf>
    <xf numFmtId="10" fontId="58" fillId="0" borderId="52" xfId="101" applyNumberFormat="1" applyFont="1" applyFill="1" applyBorder="1" applyAlignment="1">
      <alignment horizontal="center"/>
      <protection/>
    </xf>
    <xf numFmtId="10" fontId="58" fillId="0" borderId="46" xfId="101" applyNumberFormat="1" applyFont="1" applyFill="1" applyBorder="1" applyAlignment="1">
      <alignment horizontal="center"/>
      <protection/>
    </xf>
    <xf numFmtId="0" fontId="23" fillId="0" borderId="0" xfId="101" applyFont="1" applyFill="1" applyBorder="1" applyAlignment="1" applyProtection="1">
      <alignment horizontal="center" vertical="center" wrapText="1"/>
      <protection/>
    </xf>
    <xf numFmtId="0" fontId="76" fillId="0" borderId="0" xfId="101" applyFont="1" applyFill="1" applyAlignment="1">
      <alignment horizontal="right" vertical="center"/>
      <protection/>
    </xf>
    <xf numFmtId="0" fontId="76" fillId="0" borderId="54" xfId="101" applyFont="1" applyFill="1" applyBorder="1" applyAlignment="1">
      <alignment horizontal="right"/>
      <protection/>
    </xf>
    <xf numFmtId="169" fontId="51" fillId="0" borderId="55" xfId="97" applyNumberFormat="1" applyFont="1" applyBorder="1" applyAlignment="1">
      <alignment horizontal="center" textRotation="180" wrapText="1"/>
      <protection/>
    </xf>
    <xf numFmtId="169" fontId="42" fillId="0" borderId="30" xfId="97" applyNumberFormat="1" applyFont="1" applyBorder="1" applyAlignment="1">
      <alignment horizontal="left" vertical="center" wrapText="1" indent="2"/>
      <protection/>
    </xf>
    <xf numFmtId="169" fontId="42" fillId="0" borderId="51" xfId="97" applyNumberFormat="1" applyFont="1" applyBorder="1" applyAlignment="1">
      <alignment horizontal="left" vertical="center" wrapText="1" indent="2"/>
      <protection/>
    </xf>
    <xf numFmtId="169" fontId="39" fillId="0" borderId="0" xfId="97" applyNumberFormat="1" applyFont="1" applyAlignment="1">
      <alignment horizontal="center" vertical="center" wrapText="1"/>
      <protection/>
    </xf>
    <xf numFmtId="169" fontId="42" fillId="0" borderId="106" xfId="97" applyNumberFormat="1" applyFont="1" applyBorder="1" applyAlignment="1">
      <alignment horizontal="center" vertical="center" wrapText="1"/>
      <protection/>
    </xf>
    <xf numFmtId="169" fontId="42" fillId="0" borderId="107" xfId="97" applyNumberFormat="1" applyFont="1" applyBorder="1" applyAlignment="1">
      <alignment horizontal="center" vertical="center" wrapText="1"/>
      <protection/>
    </xf>
    <xf numFmtId="169" fontId="42" fillId="0" borderId="106" xfId="97" applyNumberFormat="1" applyFont="1" applyBorder="1" applyAlignment="1">
      <alignment horizontal="center" vertical="center"/>
      <protection/>
    </xf>
    <xf numFmtId="169" fontId="42" fillId="0" borderId="107" xfId="97" applyNumberFormat="1" applyFont="1" applyBorder="1" applyAlignment="1">
      <alignment horizontal="center" vertical="center"/>
      <protection/>
    </xf>
    <xf numFmtId="49" fontId="42" fillId="0" borderId="106" xfId="97" applyNumberFormat="1" applyFont="1" applyBorder="1" applyAlignment="1">
      <alignment horizontal="center" vertical="center" wrapText="1"/>
      <protection/>
    </xf>
    <xf numFmtId="49" fontId="42" fillId="0" borderId="107" xfId="97" applyNumberFormat="1" applyFont="1" applyBorder="1" applyAlignment="1">
      <alignment horizontal="center" vertical="center" wrapText="1"/>
      <protection/>
    </xf>
    <xf numFmtId="169" fontId="42" fillId="0" borderId="79" xfId="97" applyNumberFormat="1" applyFont="1" applyBorder="1" applyAlignment="1">
      <alignment horizontal="center" vertical="center"/>
      <protection/>
    </xf>
    <xf numFmtId="169" fontId="42" fillId="0" borderId="53" xfId="97" applyNumberFormat="1" applyFont="1" applyBorder="1" applyAlignment="1">
      <alignment horizontal="center" vertical="center"/>
      <protection/>
    </xf>
    <xf numFmtId="169" fontId="42" fillId="0" borderId="100" xfId="97" applyNumberFormat="1" applyFont="1" applyBorder="1" applyAlignment="1">
      <alignment horizontal="center" vertical="center"/>
      <protection/>
    </xf>
    <xf numFmtId="169" fontId="55" fillId="0" borderId="0" xfId="0" applyNumberFormat="1" applyFont="1" applyFill="1" applyAlignment="1">
      <alignment horizontal="right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169" fontId="75" fillId="0" borderId="0" xfId="0" applyNumberFormat="1" applyFont="1" applyFill="1" applyAlignment="1">
      <alignment horizontal="right" vertical="center"/>
    </xf>
  </cellXfs>
  <cellStyles count="10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iperhivatkozás" xfId="77"/>
    <cellStyle name="Hyperlink" xfId="78"/>
    <cellStyle name="Hivatkozott cella" xfId="79"/>
    <cellStyle name="Input" xfId="80"/>
    <cellStyle name="Jegyzet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Kimenet" xfId="89"/>
    <cellStyle name="Followed Hyperlink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3" xfId="96"/>
    <cellStyle name="Normál 4" xfId="97"/>
    <cellStyle name="Normál 4 2" xfId="98"/>
    <cellStyle name="Normál 5" xfId="99"/>
    <cellStyle name="Normál 6" xfId="100"/>
    <cellStyle name="Normál_1_-_II_Tajekoztato_tablak" xfId="101"/>
    <cellStyle name="Normál_2007. év költségvetés terv 1.mellékletek" xfId="102"/>
    <cellStyle name="Normál_Dologi kiadás" xfId="103"/>
    <cellStyle name="Normál_KVRENMUNKA" xfId="104"/>
    <cellStyle name="Normál_SEGEDLETEK" xfId="105"/>
    <cellStyle name="Note" xfId="106"/>
    <cellStyle name="Output" xfId="107"/>
    <cellStyle name="Összesen" xfId="108"/>
    <cellStyle name="Currency" xfId="109"/>
    <cellStyle name="Currency [0]" xfId="110"/>
    <cellStyle name="Rossz" xfId="111"/>
    <cellStyle name="Semleges" xfId="112"/>
    <cellStyle name="Számítás" xfId="113"/>
    <cellStyle name="Percent" xfId="114"/>
    <cellStyle name="Title" xfId="115"/>
    <cellStyle name="Total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i\2017\M&#225;solat%20eredetijeKVIR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i\Documents\Documents\2020\Beled\K&#246;lts&#233;gvet&#233;s\K&#246;lts&#233;gvet&#233;s%20K&#246;z&#246;s%20Hivatal_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i\Documents\Documents\2020\Beled\B&#193;MK\-%20B&#193;MK%20k&#246;lts&#233;gvet&#233;s%202020%20Reni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i\Documents\Documents\2019\Beled\K&#246;lts&#233;gvet&#233;si%20rendelet%20m&#243;dos&#237;t&#225;sa\M&#243;d.%20IV\1-18.%20szamu%20melleklet%20m&#243;dosst&#243;%20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27">
        <row r="2">
          <cell r="E2" t="str">
            <v>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nyelésre"/>
      <sheetName val="előirányzat forintban"/>
      <sheetName val="Beled Közös Hiv."/>
      <sheetName val="Munka1"/>
    </sheetNames>
    <sheetDataSet>
      <sheetData sheetId="2">
        <row r="6">
          <cell r="B6" t="str">
            <v>Informatikai eszközök létesítése (nagyértékű)</v>
          </cell>
        </row>
        <row r="11">
          <cell r="B11" t="str">
            <v>Egyéb berendezések beszerzése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önyvelésre kerekített"/>
      <sheetName val="könyvelésre"/>
      <sheetName val="ne írd át összeső1"/>
      <sheetName val="ne írd át összesítő"/>
      <sheetName val="Beled óvoda"/>
      <sheetName val="tornacsarnok"/>
      <sheetName val="művház"/>
      <sheetName val="könyvtár"/>
      <sheetName val="int. étkezés bölcsőde"/>
      <sheetName val="munkahelyi és egyéb vendéglátás"/>
      <sheetName val="bölcsőde"/>
      <sheetName val="intézményi étkezés óvoda"/>
      <sheetName val="int. étkezés iskola"/>
      <sheetName val="előlap"/>
    </sheetNames>
    <sheetDataSet>
      <sheetData sheetId="4">
        <row r="149">
          <cell r="B149" t="str">
            <v>ágvágó, sövénynyíró</v>
          </cell>
        </row>
        <row r="151">
          <cell r="B151" t="str">
            <v>iratmegsemmisítő, szőnyegtisztító gép</v>
          </cell>
        </row>
        <row r="152">
          <cell r="B152" t="str">
            <v>udvari asztal, padok, tranbulin, napernyők</v>
          </cell>
        </row>
      </sheetData>
      <sheetData sheetId="6">
        <row r="131">
          <cell r="B131" t="str">
            <v>mosógép, porszívó, állófogasok 2 db</v>
          </cell>
        </row>
      </sheetData>
      <sheetData sheetId="10">
        <row r="81">
          <cell r="C81" t="str">
            <v>Homoktakaró , baby taxi, trambulin</v>
          </cell>
        </row>
        <row r="82">
          <cell r="C82" t="str">
            <v>mikrohullámú sütő</v>
          </cell>
        </row>
        <row r="83">
          <cell r="C83" t="str">
            <v>benti csúszda</v>
          </cell>
        </row>
      </sheetData>
      <sheetData sheetId="11">
        <row r="5">
          <cell r="B5" t="str">
            <v>3 részes légkeveréses sütő</v>
          </cell>
        </row>
        <row r="6">
          <cell r="B6" t="str">
            <v>400 literes fagyasztó láda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sz.m-önk.össze.bev"/>
      <sheetName val="1 .sz.m.önk.össz.kiad."/>
      <sheetName val="2.sz.m.összehasonlító"/>
      <sheetName val="3.sz.m Önk  bev."/>
      <sheetName val="4.sz.m.ÖNK kiadás"/>
      <sheetName val="5.1 sz. m Köz Hiv"/>
      <sheetName val="5.2 sz. m ÁMK"/>
      <sheetName val="6 .sz.m. Létszám (2)"/>
      <sheetName val="7.a.sz.m.fejlesztés (4)"/>
      <sheetName val="7.b.sz.m.intfejl (2)"/>
      <sheetName val="8.sz.m.Dologi kiadás (3)"/>
      <sheetName val="9.sz.m.szociális kiadások (2)"/>
      <sheetName val="10.sz.m.átadott pe (3)"/>
      <sheetName val="11. sz adósság kötelezettség"/>
      <sheetName val="12. saját bevételek"/>
      <sheetName val="13. sz.m. előir felh terv"/>
      <sheetName val="14.sz.m. állami támogatás "/>
      <sheetName val="15.sz.m.többéves kihatás"/>
      <sheetName val="16. sz. m. EU "/>
      <sheetName val="üres lap"/>
    </sheetNames>
    <sheetDataSet>
      <sheetData sheetId="8">
        <row r="47">
          <cell r="B47" t="str">
            <v>MFP - Egészségház felújítása</v>
          </cell>
        </row>
        <row r="49">
          <cell r="B49" t="str">
            <v>MFP útfelújítás</v>
          </cell>
        </row>
        <row r="50">
          <cell r="B50" t="str">
            <v>MFP óvodaudvar - kerítésfelújítás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4"/>
  <sheetViews>
    <sheetView tabSelected="1" zoomScale="70" zoomScaleNormal="70" workbookViewId="0" topLeftCell="A1">
      <selection activeCell="F6" sqref="F6"/>
    </sheetView>
  </sheetViews>
  <sheetFormatPr defaultColWidth="9.140625" defaultRowHeight="12.75"/>
  <cols>
    <col min="1" max="2" width="5.7109375" style="57" customWidth="1"/>
    <col min="3" max="3" width="8.8515625" style="57" customWidth="1"/>
    <col min="4" max="4" width="61.7109375" style="15" customWidth="1"/>
    <col min="5" max="5" width="24.28125" style="275" customWidth="1"/>
    <col min="6" max="6" width="20.00390625" style="275" customWidth="1"/>
    <col min="7" max="10" width="20.00390625" style="275" hidden="1" customWidth="1"/>
    <col min="11" max="12" width="20.00390625" style="276" customWidth="1"/>
    <col min="13" max="17" width="20.00390625" style="276" hidden="1" customWidth="1"/>
    <col min="18" max="18" width="20.00390625" style="277" customWidth="1"/>
    <col min="19" max="19" width="20.00390625" style="276" customWidth="1"/>
    <col min="20" max="21" width="20.00390625" style="276" hidden="1" customWidth="1"/>
    <col min="22" max="23" width="20.00390625" style="277" hidden="1" customWidth="1"/>
    <col min="24" max="25" width="20.00390625" style="277" customWidth="1"/>
    <col min="26" max="30" width="20.00390625" style="277" hidden="1" customWidth="1"/>
    <col min="31" max="31" width="20.00390625" style="277" customWidth="1"/>
    <col min="32" max="16384" width="9.140625" style="277" customWidth="1"/>
  </cols>
  <sheetData>
    <row r="1" spans="1:28" ht="12.75">
      <c r="A1" s="54"/>
      <c r="B1" s="54"/>
      <c r="C1" s="54"/>
      <c r="D1" s="55"/>
      <c r="O1" s="1213" t="s">
        <v>546</v>
      </c>
      <c r="P1" s="1214"/>
      <c r="Q1" s="1214"/>
      <c r="R1" s="1214"/>
      <c r="S1" s="1214"/>
      <c r="T1" s="1214"/>
      <c r="U1" s="1214"/>
      <c r="V1" s="1214"/>
      <c r="W1" s="1214"/>
      <c r="X1" s="1214"/>
      <c r="Y1" s="1214"/>
      <c r="Z1" s="1214"/>
      <c r="AA1" s="1214"/>
      <c r="AB1" s="1214"/>
    </row>
    <row r="2" spans="1:28" ht="12.75">
      <c r="A2" s="54"/>
      <c r="B2" s="54"/>
      <c r="C2" s="54"/>
      <c r="D2" s="55"/>
      <c r="O2" s="1181"/>
      <c r="P2" s="1182"/>
      <c r="Q2" s="1182"/>
      <c r="R2" s="1182"/>
      <c r="S2" s="1182"/>
      <c r="T2" s="1182"/>
      <c r="U2" s="1182"/>
      <c r="V2" s="1182"/>
      <c r="W2" s="1182"/>
      <c r="X2" s="1182"/>
      <c r="Y2" s="1181" t="s">
        <v>630</v>
      </c>
      <c r="Z2" s="1182"/>
      <c r="AA2" s="1182"/>
      <c r="AB2" s="1182"/>
    </row>
    <row r="3" spans="1:21" s="279" customFormat="1" ht="34.5" customHeight="1">
      <c r="A3" s="1194" t="s">
        <v>565</v>
      </c>
      <c r="B3" s="1194"/>
      <c r="C3" s="1194"/>
      <c r="D3" s="1194"/>
      <c r="E3" s="1194"/>
      <c r="F3" s="1194"/>
      <c r="G3" s="1194"/>
      <c r="H3" s="1194"/>
      <c r="I3" s="1194"/>
      <c r="J3" s="1194"/>
      <c r="K3" s="1194"/>
      <c r="L3" s="1194"/>
      <c r="M3" s="1194"/>
      <c r="N3" s="1194"/>
      <c r="O3" s="1194"/>
      <c r="P3" s="1194"/>
      <c r="Q3" s="1194"/>
      <c r="R3" s="1194"/>
      <c r="S3" s="205"/>
      <c r="T3" s="278"/>
      <c r="U3" s="278"/>
    </row>
    <row r="4" spans="1:18" ht="13.5" thickBot="1">
      <c r="A4" s="56"/>
      <c r="B4" s="56"/>
      <c r="C4" s="56"/>
      <c r="D4" s="52"/>
      <c r="K4" s="43"/>
      <c r="L4" s="43"/>
      <c r="M4" s="43"/>
      <c r="N4" s="43"/>
      <c r="O4" s="43"/>
      <c r="P4" s="43"/>
      <c r="Q4" s="43"/>
      <c r="R4" s="19" t="s">
        <v>429</v>
      </c>
    </row>
    <row r="5" spans="1:30" ht="45.75" customHeight="1" thickBot="1">
      <c r="A5" s="1195" t="s">
        <v>5</v>
      </c>
      <c r="B5" s="1196"/>
      <c r="C5" s="1196"/>
      <c r="D5" s="280" t="s">
        <v>8</v>
      </c>
      <c r="E5" s="1198" t="s">
        <v>4</v>
      </c>
      <c r="F5" s="1199"/>
      <c r="G5" s="1199"/>
      <c r="H5" s="1199"/>
      <c r="I5" s="1199"/>
      <c r="J5" s="1200"/>
      <c r="K5" s="1198" t="s">
        <v>58</v>
      </c>
      <c r="L5" s="1199"/>
      <c r="M5" s="1199"/>
      <c r="N5" s="1199"/>
      <c r="O5" s="1199"/>
      <c r="P5" s="1199"/>
      <c r="Q5" s="1200"/>
      <c r="R5" s="1198" t="s">
        <v>59</v>
      </c>
      <c r="S5" s="1199"/>
      <c r="T5" s="1199"/>
      <c r="U5" s="1199"/>
      <c r="V5" s="1199"/>
      <c r="W5" s="1200"/>
      <c r="X5" s="1198" t="s">
        <v>63</v>
      </c>
      <c r="Y5" s="1199"/>
      <c r="Z5" s="1199"/>
      <c r="AA5" s="1199"/>
      <c r="AB5" s="1199"/>
      <c r="AC5" s="1199"/>
      <c r="AD5" s="1200"/>
    </row>
    <row r="6" spans="1:29" ht="45.75" customHeight="1" thickBot="1">
      <c r="A6" s="262"/>
      <c r="B6" s="263"/>
      <c r="C6" s="263"/>
      <c r="D6" s="280"/>
      <c r="E6" s="314" t="s">
        <v>62</v>
      </c>
      <c r="F6" s="315" t="s">
        <v>214</v>
      </c>
      <c r="G6" s="315" t="s">
        <v>219</v>
      </c>
      <c r="H6" s="315" t="s">
        <v>221</v>
      </c>
      <c r="I6" s="315" t="s">
        <v>419</v>
      </c>
      <c r="J6" s="316" t="s">
        <v>423</v>
      </c>
      <c r="K6" s="314" t="s">
        <v>62</v>
      </c>
      <c r="L6" s="315" t="s">
        <v>214</v>
      </c>
      <c r="M6" s="315" t="s">
        <v>219</v>
      </c>
      <c r="N6" s="315" t="s">
        <v>221</v>
      </c>
      <c r="O6" s="315" t="s">
        <v>419</v>
      </c>
      <c r="P6" s="315" t="s">
        <v>423</v>
      </c>
      <c r="Q6" s="316" t="s">
        <v>418</v>
      </c>
      <c r="R6" s="314" t="s">
        <v>62</v>
      </c>
      <c r="S6" s="315" t="s">
        <v>214</v>
      </c>
      <c r="T6" s="315" t="s">
        <v>219</v>
      </c>
      <c r="U6" s="315" t="s">
        <v>221</v>
      </c>
      <c r="V6" s="315" t="s">
        <v>419</v>
      </c>
      <c r="W6" s="316" t="s">
        <v>423</v>
      </c>
      <c r="X6" s="314" t="s">
        <v>62</v>
      </c>
      <c r="Y6" s="315" t="s">
        <v>214</v>
      </c>
      <c r="Z6" s="315" t="s">
        <v>219</v>
      </c>
      <c r="AA6" s="315" t="s">
        <v>221</v>
      </c>
      <c r="AB6" s="315" t="s">
        <v>419</v>
      </c>
      <c r="AC6" s="316" t="s">
        <v>423</v>
      </c>
    </row>
    <row r="7" spans="1:29" s="7" customFormat="1" ht="21.75" customHeight="1" thickBot="1">
      <c r="A7" s="67"/>
      <c r="B7" s="1197"/>
      <c r="C7" s="1197"/>
      <c r="D7" s="1197"/>
      <c r="E7" s="317"/>
      <c r="F7" s="245"/>
      <c r="G7" s="245"/>
      <c r="H7" s="245"/>
      <c r="I7" s="245"/>
      <c r="J7" s="669"/>
      <c r="K7" s="317"/>
      <c r="L7" s="245"/>
      <c r="M7" s="245"/>
      <c r="N7" s="245"/>
      <c r="O7" s="245"/>
      <c r="P7" s="245"/>
      <c r="Q7" s="669"/>
      <c r="R7" s="317"/>
      <c r="S7" s="245"/>
      <c r="T7" s="245"/>
      <c r="U7" s="245"/>
      <c r="V7" s="245"/>
      <c r="W7" s="669"/>
      <c r="X7" s="317"/>
      <c r="Y7" s="245"/>
      <c r="Z7" s="245"/>
      <c r="AA7" s="245"/>
      <c r="AC7" s="669"/>
    </row>
    <row r="8" spans="1:31" s="7" customFormat="1" ht="21.75" customHeight="1" thickBot="1">
      <c r="A8" s="67" t="s">
        <v>26</v>
      </c>
      <c r="B8" s="1197" t="s">
        <v>268</v>
      </c>
      <c r="C8" s="1197"/>
      <c r="D8" s="1197"/>
      <c r="E8" s="317">
        <f aca="true" t="shared" si="0" ref="E8:P8">E9+E14+E17+E18+E21</f>
        <v>219910000</v>
      </c>
      <c r="F8" s="245">
        <f t="shared" si="0"/>
        <v>206228365</v>
      </c>
      <c r="G8" s="245">
        <f t="shared" si="0"/>
        <v>0</v>
      </c>
      <c r="H8" s="245">
        <f>H9+H14+H17+H18+H21</f>
        <v>0</v>
      </c>
      <c r="I8" s="245">
        <f t="shared" si="0"/>
        <v>0</v>
      </c>
      <c r="J8" s="245">
        <f t="shared" si="0"/>
        <v>0</v>
      </c>
      <c r="K8" s="317">
        <f t="shared" si="0"/>
        <v>205233131</v>
      </c>
      <c r="L8" s="317">
        <f>L9+L14+L17+L18+L21</f>
        <v>183591717</v>
      </c>
      <c r="M8" s="317">
        <f>M9+M14+M17+M18+M21</f>
        <v>-20665627</v>
      </c>
      <c r="N8" s="245">
        <f t="shared" si="0"/>
        <v>-28275182</v>
      </c>
      <c r="O8" s="245">
        <f t="shared" si="0"/>
        <v>-8082874</v>
      </c>
      <c r="P8" s="245">
        <f t="shared" si="0"/>
        <v>-19769631</v>
      </c>
      <c r="Q8" s="670">
        <f>P8/N8</f>
        <v>0.6991866931219046</v>
      </c>
      <c r="R8" s="317">
        <f aca="true" t="shared" si="1" ref="R8:W8">R9+R14+R17+R18+R21</f>
        <v>14676869</v>
      </c>
      <c r="S8" s="317">
        <f>S9+S14+S17+S18+S21</f>
        <v>22636648</v>
      </c>
      <c r="T8" s="317">
        <f>T9+T14+T17+T18+T21</f>
        <v>20665627</v>
      </c>
      <c r="U8" s="317">
        <f>U9+U14+U17+U18+U21</f>
        <v>28275182</v>
      </c>
      <c r="V8" s="245">
        <f t="shared" si="1"/>
        <v>8082874</v>
      </c>
      <c r="W8" s="245">
        <f t="shared" si="1"/>
        <v>19769631</v>
      </c>
      <c r="X8" s="317">
        <f aca="true" t="shared" si="2" ref="X8:AD8">X9+X14+X17+X18+X21</f>
        <v>7923383</v>
      </c>
      <c r="Y8" s="317">
        <f>Y9+Y14+Y17+Y18+Y21</f>
        <v>7923383</v>
      </c>
      <c r="Z8" s="317">
        <f>Z9+Z14+Z17+Z18+Z21</f>
        <v>5776781</v>
      </c>
      <c r="AA8" s="317">
        <f t="shared" si="2"/>
        <v>5776781</v>
      </c>
      <c r="AB8" s="317">
        <f t="shared" si="2"/>
        <v>5610894</v>
      </c>
      <c r="AC8" s="317">
        <f t="shared" si="2"/>
        <v>5610894</v>
      </c>
      <c r="AD8" s="317">
        <f t="shared" si="2"/>
        <v>5610894</v>
      </c>
      <c r="AE8" s="989"/>
    </row>
    <row r="9" spans="1:31" ht="21.75" customHeight="1">
      <c r="A9" s="543"/>
      <c r="B9" s="207" t="s">
        <v>34</v>
      </c>
      <c r="C9" s="1215" t="s">
        <v>269</v>
      </c>
      <c r="D9" s="1215"/>
      <c r="E9" s="389">
        <f aca="true" t="shared" si="3" ref="E9:P9">SUM(E10:E13)</f>
        <v>19350000</v>
      </c>
      <c r="F9" s="390">
        <f t="shared" si="3"/>
        <v>19350000</v>
      </c>
      <c r="G9" s="390">
        <f t="shared" si="3"/>
        <v>0</v>
      </c>
      <c r="H9" s="390">
        <f>SUM(H10:H13)</f>
        <v>0</v>
      </c>
      <c r="I9" s="390">
        <f t="shared" si="3"/>
        <v>0</v>
      </c>
      <c r="J9" s="390">
        <f t="shared" si="3"/>
        <v>0</v>
      </c>
      <c r="K9" s="389">
        <f t="shared" si="3"/>
        <v>19350000</v>
      </c>
      <c r="L9" s="389">
        <f>SUM(L10:L13)</f>
        <v>19350000</v>
      </c>
      <c r="M9" s="389">
        <f>SUM(M10:M13)</f>
        <v>0</v>
      </c>
      <c r="N9" s="390">
        <f t="shared" si="3"/>
        <v>0</v>
      </c>
      <c r="O9" s="390">
        <f t="shared" si="3"/>
        <v>0</v>
      </c>
      <c r="P9" s="390">
        <f t="shared" si="3"/>
        <v>0</v>
      </c>
      <c r="Q9" s="671" t="e">
        <f>P9/N9</f>
        <v>#DIV/0!</v>
      </c>
      <c r="R9" s="389">
        <v>0</v>
      </c>
      <c r="S9" s="389">
        <v>0</v>
      </c>
      <c r="T9" s="389">
        <v>0</v>
      </c>
      <c r="U9" s="389">
        <v>0</v>
      </c>
      <c r="V9" s="390"/>
      <c r="W9" s="390"/>
      <c r="X9" s="389">
        <v>0</v>
      </c>
      <c r="Y9" s="389">
        <v>0</v>
      </c>
      <c r="Z9" s="389">
        <v>0</v>
      </c>
      <c r="AA9" s="389">
        <v>0</v>
      </c>
      <c r="AB9" s="389">
        <v>0</v>
      </c>
      <c r="AC9" s="389">
        <v>0</v>
      </c>
      <c r="AD9" s="389">
        <v>0</v>
      </c>
      <c r="AE9" s="989"/>
    </row>
    <row r="10" spans="1:31" ht="21.75" customHeight="1">
      <c r="A10" s="64"/>
      <c r="B10" s="60"/>
      <c r="C10" s="60" t="s">
        <v>274</v>
      </c>
      <c r="D10" s="281" t="s">
        <v>270</v>
      </c>
      <c r="E10" s="319">
        <f>'3.sz.m Önk  bev.'!E10</f>
        <v>0</v>
      </c>
      <c r="F10" s="247">
        <f>'3.sz.m Önk  bev.'!F10</f>
        <v>0</v>
      </c>
      <c r="G10" s="247">
        <f>'3.sz.m Önk  bev.'!G10</f>
        <v>0</v>
      </c>
      <c r="H10" s="247">
        <f>'3.sz.m Önk  bev.'!H10</f>
        <v>0</v>
      </c>
      <c r="I10" s="247">
        <f>'3.sz.m Önk  bev.'!I10</f>
        <v>0</v>
      </c>
      <c r="J10" s="247">
        <f>'3.sz.m Önk  bev.'!J10</f>
        <v>0</v>
      </c>
      <c r="K10" s="319">
        <f>'3.sz.m Önk  bev.'!L10</f>
        <v>0</v>
      </c>
      <c r="L10" s="319">
        <f>'3.sz.m Önk  bev.'!M10</f>
        <v>0</v>
      </c>
      <c r="M10" s="319">
        <f>'3.sz.m Önk  bev.'!N10</f>
        <v>0</v>
      </c>
      <c r="N10" s="247">
        <f>'3.sz.m Önk  bev.'!O10</f>
        <v>0</v>
      </c>
      <c r="O10" s="247">
        <f>'3.sz.m Önk  bev.'!P10</f>
        <v>0</v>
      </c>
      <c r="P10" s="247">
        <f>'3.sz.m Önk  bev.'!Q10</f>
        <v>0</v>
      </c>
      <c r="Q10" s="672"/>
      <c r="R10" s="319">
        <v>0</v>
      </c>
      <c r="S10" s="319">
        <v>0</v>
      </c>
      <c r="T10" s="319">
        <v>0</v>
      </c>
      <c r="U10" s="319">
        <v>0</v>
      </c>
      <c r="V10" s="247"/>
      <c r="W10" s="247"/>
      <c r="X10" s="319">
        <v>0</v>
      </c>
      <c r="Y10" s="319">
        <v>0</v>
      </c>
      <c r="Z10" s="319">
        <v>0</v>
      </c>
      <c r="AA10" s="319">
        <v>0</v>
      </c>
      <c r="AB10" s="319">
        <v>0</v>
      </c>
      <c r="AC10" s="319">
        <v>0</v>
      </c>
      <c r="AD10" s="319">
        <v>0</v>
      </c>
      <c r="AE10" s="989"/>
    </row>
    <row r="11" spans="1:31" ht="21.75" customHeight="1">
      <c r="A11" s="64"/>
      <c r="B11" s="60"/>
      <c r="C11" s="60" t="s">
        <v>275</v>
      </c>
      <c r="D11" s="281" t="s">
        <v>255</v>
      </c>
      <c r="E11" s="319">
        <f>'3.sz.m Önk  bev.'!E11</f>
        <v>0</v>
      </c>
      <c r="F11" s="247">
        <f>'3.sz.m Önk  bev.'!F11</f>
        <v>0</v>
      </c>
      <c r="G11" s="247">
        <f>'3.sz.m Önk  bev.'!G11</f>
        <v>0</v>
      </c>
      <c r="H11" s="247">
        <f>'3.sz.m Önk  bev.'!H11</f>
        <v>0</v>
      </c>
      <c r="I11" s="247">
        <f>'3.sz.m Önk  bev.'!I11</f>
        <v>0</v>
      </c>
      <c r="J11" s="247">
        <f>'3.sz.m Önk  bev.'!J11</f>
        <v>0</v>
      </c>
      <c r="K11" s="319">
        <f>'3.sz.m Önk  bev.'!L11</f>
        <v>0</v>
      </c>
      <c r="L11" s="319">
        <f>'3.sz.m Önk  bev.'!M11</f>
        <v>0</v>
      </c>
      <c r="M11" s="319">
        <f>'3.sz.m Önk  bev.'!N11</f>
        <v>0</v>
      </c>
      <c r="N11" s="247">
        <f>'3.sz.m Önk  bev.'!O11</f>
        <v>0</v>
      </c>
      <c r="O11" s="247">
        <f>'3.sz.m Önk  bev.'!P11</f>
        <v>0</v>
      </c>
      <c r="P11" s="247">
        <f>'3.sz.m Önk  bev.'!Q11</f>
        <v>0</v>
      </c>
      <c r="Q11" s="672"/>
      <c r="R11" s="319">
        <v>0</v>
      </c>
      <c r="S11" s="319">
        <v>0</v>
      </c>
      <c r="T11" s="319">
        <v>0</v>
      </c>
      <c r="U11" s="319">
        <v>0</v>
      </c>
      <c r="V11" s="247"/>
      <c r="W11" s="247"/>
      <c r="X11" s="319">
        <v>0</v>
      </c>
      <c r="Y11" s="319">
        <v>0</v>
      </c>
      <c r="Z11" s="319">
        <v>0</v>
      </c>
      <c r="AA11" s="319">
        <v>0</v>
      </c>
      <c r="AB11" s="319">
        <v>0</v>
      </c>
      <c r="AC11" s="319">
        <v>0</v>
      </c>
      <c r="AD11" s="319">
        <v>0</v>
      </c>
      <c r="AE11" s="989"/>
    </row>
    <row r="12" spans="1:31" ht="21.75" customHeight="1">
      <c r="A12" s="64"/>
      <c r="B12" s="60"/>
      <c r="C12" s="60" t="s">
        <v>276</v>
      </c>
      <c r="D12" s="281" t="s">
        <v>254</v>
      </c>
      <c r="E12" s="319">
        <f>'3.sz.m Önk  bev.'!E12</f>
        <v>19350000</v>
      </c>
      <c r="F12" s="247">
        <f>'3.sz.m Önk  bev.'!F12</f>
        <v>19350000</v>
      </c>
      <c r="G12" s="247">
        <f>'3.sz.m Önk  bev.'!G12</f>
        <v>0</v>
      </c>
      <c r="H12" s="247">
        <f>'3.sz.m Önk  bev.'!H12</f>
        <v>0</v>
      </c>
      <c r="I12" s="247">
        <f>'3.sz.m Önk  bev.'!I12</f>
        <v>0</v>
      </c>
      <c r="J12" s="247">
        <f>'3.sz.m Önk  bev.'!J12</f>
        <v>0</v>
      </c>
      <c r="K12" s="319">
        <f>'3.sz.m Önk  bev.'!L12</f>
        <v>19350000</v>
      </c>
      <c r="L12" s="319">
        <f>'3.sz.m Önk  bev.'!M12</f>
        <v>19350000</v>
      </c>
      <c r="M12" s="319">
        <f>'3.sz.m Önk  bev.'!N12</f>
        <v>0</v>
      </c>
      <c r="N12" s="247">
        <f>'3.sz.m Önk  bev.'!O12</f>
        <v>0</v>
      </c>
      <c r="O12" s="247">
        <f>'3.sz.m Önk  bev.'!P12</f>
        <v>0</v>
      </c>
      <c r="P12" s="247">
        <f>'3.sz.m Önk  bev.'!Q12</f>
        <v>0</v>
      </c>
      <c r="Q12" s="672" t="e">
        <f aca="true" t="shared" si="4" ref="Q12:Q65">P12/N12</f>
        <v>#DIV/0!</v>
      </c>
      <c r="R12" s="319">
        <v>0</v>
      </c>
      <c r="S12" s="319">
        <v>0</v>
      </c>
      <c r="T12" s="319">
        <v>0</v>
      </c>
      <c r="U12" s="319">
        <v>0</v>
      </c>
      <c r="V12" s="247"/>
      <c r="W12" s="247"/>
      <c r="X12" s="319">
        <v>0</v>
      </c>
      <c r="Y12" s="319">
        <v>0</v>
      </c>
      <c r="Z12" s="319">
        <v>0</v>
      </c>
      <c r="AA12" s="319">
        <v>0</v>
      </c>
      <c r="AB12" s="319">
        <v>0</v>
      </c>
      <c r="AC12" s="319">
        <v>0</v>
      </c>
      <c r="AD12" s="319">
        <v>0</v>
      </c>
      <c r="AE12" s="989"/>
    </row>
    <row r="13" spans="1:33" ht="21.75" customHeight="1" hidden="1">
      <c r="A13" s="64"/>
      <c r="B13" s="60"/>
      <c r="C13" s="60"/>
      <c r="D13" s="281"/>
      <c r="E13" s="319"/>
      <c r="F13" s="247"/>
      <c r="G13" s="247"/>
      <c r="H13" s="247"/>
      <c r="I13" s="247"/>
      <c r="J13" s="247"/>
      <c r="K13" s="319"/>
      <c r="L13" s="319"/>
      <c r="M13" s="319"/>
      <c r="N13" s="247"/>
      <c r="O13" s="247"/>
      <c r="P13" s="247"/>
      <c r="Q13" s="672" t="e">
        <f t="shared" si="4"/>
        <v>#DIV/0!</v>
      </c>
      <c r="R13" s="319"/>
      <c r="S13" s="319"/>
      <c r="T13" s="319"/>
      <c r="U13" s="319"/>
      <c r="V13" s="247"/>
      <c r="W13" s="247"/>
      <c r="X13" s="319"/>
      <c r="Y13" s="319"/>
      <c r="Z13" s="319"/>
      <c r="AA13" s="319"/>
      <c r="AB13" s="319"/>
      <c r="AC13" s="319"/>
      <c r="AD13" s="319"/>
      <c r="AE13" s="989"/>
      <c r="AG13" s="277" t="s">
        <v>230</v>
      </c>
    </row>
    <row r="14" spans="1:31" ht="21.75" customHeight="1">
      <c r="A14" s="64"/>
      <c r="B14" s="60" t="s">
        <v>35</v>
      </c>
      <c r="C14" s="1201" t="s">
        <v>271</v>
      </c>
      <c r="D14" s="1201"/>
      <c r="E14" s="319">
        <f aca="true" t="shared" si="5" ref="E14:X14">SUM(E15:E16)</f>
        <v>185000000</v>
      </c>
      <c r="F14" s="247">
        <f t="shared" si="5"/>
        <v>185000000</v>
      </c>
      <c r="G14" s="247">
        <f t="shared" si="5"/>
        <v>0</v>
      </c>
      <c r="H14" s="247">
        <f>SUM(H15:H16)</f>
        <v>0</v>
      </c>
      <c r="I14" s="247">
        <f t="shared" si="5"/>
        <v>0</v>
      </c>
      <c r="J14" s="247">
        <f t="shared" si="5"/>
        <v>0</v>
      </c>
      <c r="K14" s="319">
        <f t="shared" si="5"/>
        <v>170323131</v>
      </c>
      <c r="L14" s="319">
        <f>SUM(L15:L16)</f>
        <v>162363352</v>
      </c>
      <c r="M14" s="319">
        <f>SUM(M15:M16)</f>
        <v>-20665627</v>
      </c>
      <c r="N14" s="247">
        <f t="shared" si="5"/>
        <v>-28275182</v>
      </c>
      <c r="O14" s="858">
        <f t="shared" si="5"/>
        <v>-8082874</v>
      </c>
      <c r="P14" s="858">
        <f t="shared" si="5"/>
        <v>-19769631</v>
      </c>
      <c r="Q14" s="319">
        <f t="shared" si="5"/>
        <v>0.6991866931219046</v>
      </c>
      <c r="R14" s="319">
        <f t="shared" si="5"/>
        <v>14676869</v>
      </c>
      <c r="S14" s="319">
        <f>SUM(S15:S16)</f>
        <v>22636648</v>
      </c>
      <c r="T14" s="319">
        <f>SUM(T15:T16)</f>
        <v>20665627</v>
      </c>
      <c r="U14" s="319">
        <f>SUM(U15:U16)</f>
        <v>28275182</v>
      </c>
      <c r="V14" s="247">
        <f t="shared" si="5"/>
        <v>8082874</v>
      </c>
      <c r="W14" s="247">
        <f t="shared" si="5"/>
        <v>19769631</v>
      </c>
      <c r="X14" s="319">
        <f t="shared" si="5"/>
        <v>7923383</v>
      </c>
      <c r="Y14" s="319">
        <f aca="true" t="shared" si="6" ref="Y14:AD14">SUM(Y15:Y16)</f>
        <v>7923383</v>
      </c>
      <c r="Z14" s="319">
        <f t="shared" si="6"/>
        <v>5776781</v>
      </c>
      <c r="AA14" s="319">
        <f t="shared" si="6"/>
        <v>5776781</v>
      </c>
      <c r="AB14" s="319">
        <f t="shared" si="6"/>
        <v>5610894</v>
      </c>
      <c r="AC14" s="319">
        <f t="shared" si="6"/>
        <v>5610894</v>
      </c>
      <c r="AD14" s="319">
        <f t="shared" si="6"/>
        <v>5610894</v>
      </c>
      <c r="AE14" s="989"/>
    </row>
    <row r="15" spans="1:31" ht="21.75" customHeight="1">
      <c r="A15" s="64"/>
      <c r="B15" s="60"/>
      <c r="C15" s="60" t="s">
        <v>272</v>
      </c>
      <c r="D15" s="487" t="s">
        <v>277</v>
      </c>
      <c r="E15" s="319">
        <f>'3.sz.m Önk  bev.'!E15</f>
        <v>185000000</v>
      </c>
      <c r="F15" s="247">
        <f>'3.sz.m Önk  bev.'!F15</f>
        <v>185000000</v>
      </c>
      <c r="G15" s="247">
        <f>'3.sz.m Önk  bev.'!G15</f>
        <v>0</v>
      </c>
      <c r="H15" s="247">
        <f>'3.sz.m Önk  bev.'!H15</f>
        <v>0</v>
      </c>
      <c r="I15" s="247">
        <f>'3.sz.m Önk  bev.'!I15</f>
        <v>0</v>
      </c>
      <c r="J15" s="247">
        <f>'3.sz.m Önk  bev.'!J15</f>
        <v>0</v>
      </c>
      <c r="K15" s="319">
        <f>'3.sz.m Önk  bev.'!L15</f>
        <v>170323131</v>
      </c>
      <c r="L15" s="319">
        <f>'3.sz.m Önk  bev.'!M15</f>
        <v>162363352</v>
      </c>
      <c r="M15" s="319">
        <f>'3.sz.m Önk  bev.'!N15</f>
        <v>-20665627</v>
      </c>
      <c r="N15" s="247">
        <f>'3.sz.m Önk  bev.'!O15</f>
        <v>-28275182</v>
      </c>
      <c r="O15" s="247">
        <f>'3.sz.m Önk  bev.'!P15</f>
        <v>-8082874</v>
      </c>
      <c r="P15" s="247">
        <f>'3.sz.m Önk  bev.'!Q15</f>
        <v>-19769631</v>
      </c>
      <c r="Q15" s="672">
        <f t="shared" si="4"/>
        <v>0.6991866931219046</v>
      </c>
      <c r="R15" s="319">
        <f>'3.sz.m Önk  bev.'!S15</f>
        <v>14676869</v>
      </c>
      <c r="S15" s="319">
        <f>'3.sz.m Önk  bev.'!T15</f>
        <v>22636648</v>
      </c>
      <c r="T15" s="319">
        <f>'3.sz.m Önk  bev.'!U15</f>
        <v>20665627</v>
      </c>
      <c r="U15" s="319">
        <f>'3.sz.m Önk  bev.'!V15</f>
        <v>28275182</v>
      </c>
      <c r="V15" s="247">
        <f>'3.sz.m Önk  bev.'!W15</f>
        <v>8082874</v>
      </c>
      <c r="W15" s="247">
        <f>'3.sz.m Önk  bev.'!X15</f>
        <v>19769631</v>
      </c>
      <c r="X15" s="940">
        <f>+'1 .sz.m.önk.össz.kiad.'!X36</f>
        <v>7923383</v>
      </c>
      <c r="Y15" s="940">
        <f>+'1 .sz.m.önk.össz.kiad.'!Y36</f>
        <v>7923383</v>
      </c>
      <c r="Z15" s="319">
        <v>5776781</v>
      </c>
      <c r="AA15" s="319">
        <v>5776781</v>
      </c>
      <c r="AB15" s="319">
        <v>5610894</v>
      </c>
      <c r="AC15" s="319">
        <v>5610894</v>
      </c>
      <c r="AD15" s="319">
        <v>5610894</v>
      </c>
      <c r="AE15" s="989"/>
    </row>
    <row r="16" spans="1:31" ht="21.75" customHeight="1">
      <c r="A16" s="64"/>
      <c r="B16" s="60"/>
      <c r="C16" s="60" t="s">
        <v>273</v>
      </c>
      <c r="D16" s="487" t="s">
        <v>278</v>
      </c>
      <c r="E16" s="319">
        <f>'3.sz.m Önk  bev.'!E16</f>
        <v>0</v>
      </c>
      <c r="F16" s="247">
        <f>'3.sz.m Önk  bev.'!F16</f>
        <v>0</v>
      </c>
      <c r="G16" s="247">
        <f>'3.sz.m Önk  bev.'!G16</f>
        <v>0</v>
      </c>
      <c r="H16" s="247">
        <f>'3.sz.m Önk  bev.'!H16</f>
        <v>0</v>
      </c>
      <c r="I16" s="247">
        <f>'3.sz.m Önk  bev.'!I16</f>
        <v>0</v>
      </c>
      <c r="J16" s="247">
        <f>'3.sz.m Önk  bev.'!J16</f>
        <v>0</v>
      </c>
      <c r="K16" s="319">
        <f>'3.sz.m Önk  bev.'!L16</f>
        <v>0</v>
      </c>
      <c r="L16" s="319">
        <f>'3.sz.m Önk  bev.'!M16</f>
        <v>0</v>
      </c>
      <c r="M16" s="319">
        <f>'3.sz.m Önk  bev.'!N16</f>
        <v>0</v>
      </c>
      <c r="N16" s="247">
        <f>'3.sz.m Önk  bev.'!O16</f>
        <v>0</v>
      </c>
      <c r="O16" s="247">
        <f>'3.sz.m Önk  bev.'!P16</f>
        <v>0</v>
      </c>
      <c r="P16" s="247">
        <f>'3.sz.m Önk  bev.'!Q16</f>
        <v>0</v>
      </c>
      <c r="Q16" s="672"/>
      <c r="R16" s="319">
        <v>0</v>
      </c>
      <c r="S16" s="319">
        <v>0</v>
      </c>
      <c r="T16" s="319">
        <v>0</v>
      </c>
      <c r="U16" s="319">
        <v>0</v>
      </c>
      <c r="V16" s="247"/>
      <c r="W16" s="247"/>
      <c r="X16" s="319">
        <v>0</v>
      </c>
      <c r="Y16" s="319">
        <v>0</v>
      </c>
      <c r="Z16" s="319">
        <v>0</v>
      </c>
      <c r="AA16" s="319">
        <v>0</v>
      </c>
      <c r="AB16" s="319">
        <v>0</v>
      </c>
      <c r="AC16" s="319">
        <v>0</v>
      </c>
      <c r="AD16" s="319">
        <v>0</v>
      </c>
      <c r="AE16" s="989"/>
    </row>
    <row r="17" spans="1:31" ht="21.75" customHeight="1">
      <c r="A17" s="64"/>
      <c r="B17" s="60" t="s">
        <v>109</v>
      </c>
      <c r="C17" s="1201" t="s">
        <v>279</v>
      </c>
      <c r="D17" s="1201"/>
      <c r="E17" s="319">
        <f>'3.sz.m Önk  bev.'!E17</f>
        <v>14150000</v>
      </c>
      <c r="F17" s="247">
        <f>'3.sz.m Önk  bev.'!F17</f>
        <v>468365</v>
      </c>
      <c r="G17" s="247">
        <f>'3.sz.m Önk  bev.'!G17</f>
        <v>0</v>
      </c>
      <c r="H17" s="247">
        <f>'3.sz.m Önk  bev.'!H17</f>
        <v>0</v>
      </c>
      <c r="I17" s="247">
        <f>'3.sz.m Önk  bev.'!I17</f>
        <v>0</v>
      </c>
      <c r="J17" s="247">
        <f>'3.sz.m Önk  bev.'!J17</f>
        <v>0</v>
      </c>
      <c r="K17" s="319">
        <f>'3.sz.m Önk  bev.'!L17</f>
        <v>14150000</v>
      </c>
      <c r="L17" s="319">
        <f>'3.sz.m Önk  bev.'!M17</f>
        <v>468365</v>
      </c>
      <c r="M17" s="319">
        <f>'3.sz.m Önk  bev.'!N17</f>
        <v>0</v>
      </c>
      <c r="N17" s="247">
        <f>'3.sz.m Önk  bev.'!O17</f>
        <v>0</v>
      </c>
      <c r="O17" s="247">
        <f>'3.sz.m Önk  bev.'!P17</f>
        <v>0</v>
      </c>
      <c r="P17" s="247">
        <f>'3.sz.m Önk  bev.'!Q17</f>
        <v>0</v>
      </c>
      <c r="Q17" s="673" t="e">
        <f t="shared" si="4"/>
        <v>#DIV/0!</v>
      </c>
      <c r="R17" s="319">
        <v>0</v>
      </c>
      <c r="S17" s="319">
        <v>0</v>
      </c>
      <c r="T17" s="319">
        <v>0</v>
      </c>
      <c r="U17" s="319">
        <v>0</v>
      </c>
      <c r="V17" s="247"/>
      <c r="W17" s="247"/>
      <c r="X17" s="319">
        <v>0</v>
      </c>
      <c r="Y17" s="319">
        <v>0</v>
      </c>
      <c r="Z17" s="319">
        <v>0</v>
      </c>
      <c r="AA17" s="319">
        <v>0</v>
      </c>
      <c r="AB17" s="319">
        <v>0</v>
      </c>
      <c r="AC17" s="319">
        <v>0</v>
      </c>
      <c r="AD17" s="319">
        <v>0</v>
      </c>
      <c r="AE17" s="989"/>
    </row>
    <row r="18" spans="1:31" ht="21.75" customHeight="1">
      <c r="A18" s="64"/>
      <c r="B18" s="60" t="s">
        <v>47</v>
      </c>
      <c r="C18" s="1204" t="s">
        <v>280</v>
      </c>
      <c r="D18" s="1205"/>
      <c r="E18" s="319">
        <f aca="true" t="shared" si="7" ref="E18:P18">SUM(E19:E20)</f>
        <v>0</v>
      </c>
      <c r="F18" s="247">
        <f t="shared" si="7"/>
        <v>0</v>
      </c>
      <c r="G18" s="247">
        <f t="shared" si="7"/>
        <v>0</v>
      </c>
      <c r="H18" s="247">
        <f>SUM(H19:H20)</f>
        <v>0</v>
      </c>
      <c r="I18" s="247">
        <f t="shared" si="7"/>
        <v>0</v>
      </c>
      <c r="J18" s="247">
        <f t="shared" si="7"/>
        <v>0</v>
      </c>
      <c r="K18" s="319">
        <f t="shared" si="7"/>
        <v>0</v>
      </c>
      <c r="L18" s="319">
        <f>SUM(L19:L20)</f>
        <v>0</v>
      </c>
      <c r="M18" s="319">
        <f>SUM(M19:M20)</f>
        <v>0</v>
      </c>
      <c r="N18" s="247">
        <f t="shared" si="7"/>
        <v>0</v>
      </c>
      <c r="O18" s="247">
        <f t="shared" si="7"/>
        <v>0</v>
      </c>
      <c r="P18" s="247">
        <f t="shared" si="7"/>
        <v>0</v>
      </c>
      <c r="Q18" s="673" t="e">
        <f t="shared" si="4"/>
        <v>#DIV/0!</v>
      </c>
      <c r="R18" s="319">
        <v>0</v>
      </c>
      <c r="S18" s="319">
        <v>0</v>
      </c>
      <c r="T18" s="319">
        <v>0</v>
      </c>
      <c r="U18" s="319">
        <v>0</v>
      </c>
      <c r="V18" s="247"/>
      <c r="W18" s="247"/>
      <c r="X18" s="319">
        <v>0</v>
      </c>
      <c r="Y18" s="319">
        <v>0</v>
      </c>
      <c r="Z18" s="319">
        <v>0</v>
      </c>
      <c r="AA18" s="319">
        <v>0</v>
      </c>
      <c r="AB18" s="319">
        <v>0</v>
      </c>
      <c r="AC18" s="319">
        <v>0</v>
      </c>
      <c r="AD18" s="319">
        <v>0</v>
      </c>
      <c r="AE18" s="989"/>
    </row>
    <row r="19" spans="1:31" ht="21.75" customHeight="1">
      <c r="A19" s="64"/>
      <c r="B19" s="60"/>
      <c r="C19" s="60" t="s">
        <v>281</v>
      </c>
      <c r="D19" s="487" t="s">
        <v>283</v>
      </c>
      <c r="E19" s="319">
        <f>'3.sz.m Önk  bev.'!E19</f>
        <v>0</v>
      </c>
      <c r="F19" s="247">
        <f>'3.sz.m Önk  bev.'!F19</f>
        <v>0</v>
      </c>
      <c r="G19" s="247">
        <f>'3.sz.m Önk  bev.'!G19</f>
        <v>0</v>
      </c>
      <c r="H19" s="247">
        <f>'3.sz.m Önk  bev.'!H19</f>
        <v>0</v>
      </c>
      <c r="I19" s="247">
        <f>'3.sz.m Önk  bev.'!I19</f>
        <v>0</v>
      </c>
      <c r="J19" s="247">
        <f>'3.sz.m Önk  bev.'!J19</f>
        <v>0</v>
      </c>
      <c r="K19" s="319">
        <f>'3.sz.m Önk  bev.'!L19</f>
        <v>0</v>
      </c>
      <c r="L19" s="319">
        <f>'3.sz.m Önk  bev.'!M19</f>
        <v>0</v>
      </c>
      <c r="M19" s="319">
        <f>'3.sz.m Önk  bev.'!N19</f>
        <v>0</v>
      </c>
      <c r="N19" s="247">
        <f>'3.sz.m Önk  bev.'!O19</f>
        <v>0</v>
      </c>
      <c r="O19" s="247">
        <f>'3.sz.m Önk  bev.'!P19</f>
        <v>0</v>
      </c>
      <c r="P19" s="247">
        <f>'3.sz.m Önk  bev.'!Q19</f>
        <v>0</v>
      </c>
      <c r="Q19" s="673"/>
      <c r="R19" s="319">
        <v>0</v>
      </c>
      <c r="S19" s="319">
        <v>0</v>
      </c>
      <c r="T19" s="319">
        <v>0</v>
      </c>
      <c r="U19" s="319">
        <v>0</v>
      </c>
      <c r="V19" s="247"/>
      <c r="W19" s="247"/>
      <c r="X19" s="319">
        <v>0</v>
      </c>
      <c r="Y19" s="319">
        <v>0</v>
      </c>
      <c r="Z19" s="319">
        <v>0</v>
      </c>
      <c r="AA19" s="319">
        <v>0</v>
      </c>
      <c r="AB19" s="319">
        <v>0</v>
      </c>
      <c r="AC19" s="319">
        <v>0</v>
      </c>
      <c r="AD19" s="319">
        <v>0</v>
      </c>
      <c r="AE19" s="989"/>
    </row>
    <row r="20" spans="1:31" ht="21.75" customHeight="1" hidden="1">
      <c r="A20" s="64"/>
      <c r="B20" s="60"/>
      <c r="C20" s="60" t="s">
        <v>282</v>
      </c>
      <c r="D20" s="487" t="s">
        <v>256</v>
      </c>
      <c r="E20" s="319">
        <f>'3.sz.m Önk  bev.'!E20</f>
        <v>0</v>
      </c>
      <c r="F20" s="247">
        <f>'3.sz.m Önk  bev.'!F20</f>
        <v>0</v>
      </c>
      <c r="G20" s="247">
        <f>'3.sz.m Önk  bev.'!G20</f>
        <v>0</v>
      </c>
      <c r="H20" s="247">
        <f>'3.sz.m Önk  bev.'!H20</f>
        <v>0</v>
      </c>
      <c r="I20" s="247">
        <f>'3.sz.m Önk  bev.'!I20</f>
        <v>0</v>
      </c>
      <c r="J20" s="247">
        <f>'3.sz.m Önk  bev.'!J20</f>
        <v>0</v>
      </c>
      <c r="K20" s="319">
        <f>'3.sz.m Önk  bev.'!L20</f>
        <v>0</v>
      </c>
      <c r="L20" s="319">
        <f>'3.sz.m Önk  bev.'!M20</f>
        <v>0</v>
      </c>
      <c r="M20" s="319">
        <f>'3.sz.m Önk  bev.'!N20</f>
        <v>0</v>
      </c>
      <c r="N20" s="247">
        <f>'3.sz.m Önk  bev.'!O20</f>
        <v>0</v>
      </c>
      <c r="O20" s="247">
        <f>'3.sz.m Önk  bev.'!P20</f>
        <v>0</v>
      </c>
      <c r="P20" s="247">
        <f>'3.sz.m Önk  bev.'!Q20</f>
        <v>0</v>
      </c>
      <c r="Q20" s="673" t="e">
        <f t="shared" si="4"/>
        <v>#DIV/0!</v>
      </c>
      <c r="R20" s="319">
        <v>0</v>
      </c>
      <c r="S20" s="319">
        <v>0</v>
      </c>
      <c r="T20" s="319">
        <v>0</v>
      </c>
      <c r="U20" s="319">
        <v>0</v>
      </c>
      <c r="V20" s="247"/>
      <c r="W20" s="247"/>
      <c r="X20" s="319">
        <v>0</v>
      </c>
      <c r="Y20" s="319">
        <v>0</v>
      </c>
      <c r="Z20" s="319">
        <v>0</v>
      </c>
      <c r="AA20" s="319">
        <v>0</v>
      </c>
      <c r="AB20" s="319">
        <v>0</v>
      </c>
      <c r="AC20" s="319">
        <v>0</v>
      </c>
      <c r="AD20" s="319">
        <v>0</v>
      </c>
      <c r="AE20" s="989"/>
    </row>
    <row r="21" spans="1:31" ht="21.75" customHeight="1" thickBot="1">
      <c r="A21" s="391"/>
      <c r="B21" s="544" t="s">
        <v>48</v>
      </c>
      <c r="C21" s="1206" t="s">
        <v>284</v>
      </c>
      <c r="D21" s="1207"/>
      <c r="E21" s="319">
        <f>'3.sz.m Önk  bev.'!E21</f>
        <v>1410000</v>
      </c>
      <c r="F21" s="247">
        <f>'3.sz.m Önk  bev.'!F21</f>
        <v>1410000</v>
      </c>
      <c r="G21" s="247">
        <f>'3.sz.m Önk  bev.'!G21</f>
        <v>0</v>
      </c>
      <c r="H21" s="247">
        <f>'3.sz.m Önk  bev.'!H21</f>
        <v>0</v>
      </c>
      <c r="I21" s="247">
        <f>'3.sz.m Önk  bev.'!I21</f>
        <v>0</v>
      </c>
      <c r="J21" s="247">
        <f>'3.sz.m Önk  bev.'!J21</f>
        <v>0</v>
      </c>
      <c r="K21" s="319">
        <f>'3.sz.m Önk  bev.'!L21</f>
        <v>1410000</v>
      </c>
      <c r="L21" s="319">
        <f>'3.sz.m Önk  bev.'!M21</f>
        <v>1410000</v>
      </c>
      <c r="M21" s="319">
        <f>'3.sz.m Önk  bev.'!N21</f>
        <v>0</v>
      </c>
      <c r="N21" s="247">
        <f>'3.sz.m Önk  bev.'!O21</f>
        <v>0</v>
      </c>
      <c r="O21" s="247">
        <f>'3.sz.m Önk  bev.'!P21</f>
        <v>0</v>
      </c>
      <c r="P21" s="247">
        <f>'3.sz.m Önk  bev.'!Q21</f>
        <v>0</v>
      </c>
      <c r="Q21" s="674" t="e">
        <f t="shared" si="4"/>
        <v>#DIV/0!</v>
      </c>
      <c r="R21" s="319">
        <v>0</v>
      </c>
      <c r="S21" s="319">
        <v>0</v>
      </c>
      <c r="T21" s="319">
        <v>0</v>
      </c>
      <c r="U21" s="319">
        <v>0</v>
      </c>
      <c r="V21" s="247"/>
      <c r="W21" s="247"/>
      <c r="X21" s="319">
        <v>0</v>
      </c>
      <c r="Y21" s="319">
        <v>0</v>
      </c>
      <c r="Z21" s="319">
        <v>0</v>
      </c>
      <c r="AA21" s="319">
        <v>0</v>
      </c>
      <c r="AB21" s="319">
        <v>0</v>
      </c>
      <c r="AC21" s="319">
        <v>0</v>
      </c>
      <c r="AD21" s="319">
        <v>0</v>
      </c>
      <c r="AE21" s="989"/>
    </row>
    <row r="22" spans="1:31" ht="21.75" customHeight="1" thickBot="1">
      <c r="A22" s="67" t="s">
        <v>285</v>
      </c>
      <c r="B22" s="1197" t="s">
        <v>286</v>
      </c>
      <c r="C22" s="1197"/>
      <c r="D22" s="1197"/>
      <c r="E22" s="317">
        <f>E23+E24+E26+E30+E31+E32+E33+E25</f>
        <v>74220992</v>
      </c>
      <c r="F22" s="317">
        <f>F23+F24+F26+F30+F31+F32+F33+F25</f>
        <v>62585349</v>
      </c>
      <c r="G22" s="317">
        <f>G23+G24+G26+G30+G31+G32+G33+G25</f>
        <v>0</v>
      </c>
      <c r="H22" s="317">
        <f>H23+H24+H26+H30+H31+H32+H33+H25+H34</f>
        <v>0</v>
      </c>
      <c r="I22" s="317">
        <f>I23+I24+I26+I30+I31+I32+I33+I25+I34</f>
        <v>0</v>
      </c>
      <c r="J22" s="317">
        <f>J23+J24+J26+J30+J31+J32+J33+J25+J34</f>
        <v>0</v>
      </c>
      <c r="K22" s="317">
        <f>K23+K24+K26+K30+K31+K32+K33+K25</f>
        <v>74030492</v>
      </c>
      <c r="L22" s="317">
        <f>L23+L24+L26+L30+L31+L32+L33+L25</f>
        <v>62394849</v>
      </c>
      <c r="M22" s="317">
        <f>+M23+M24+M25+M26+M30+M32+M33+M34</f>
        <v>17465677</v>
      </c>
      <c r="N22" s="317">
        <f>N23+N24+N26+N30+N31+N32+N33+N25+N34</f>
        <v>-406576</v>
      </c>
      <c r="O22" s="317">
        <f>O23+O24+O26+O30+O31+O32+O33+O25+O34</f>
        <v>0</v>
      </c>
      <c r="P22" s="925">
        <f>+P23+P24+P25+P26+P30+P32+P33+P34</f>
        <v>-381000</v>
      </c>
      <c r="Q22" s="317">
        <f>Q23+Q24+Q26+Q30+Q31+Q32+Q33+Q25</f>
        <v>2</v>
      </c>
      <c r="R22" s="317">
        <f aca="true" t="shared" si="8" ref="R22:W22">R23+R24+R26+R30+R31+R32+R33</f>
        <v>190500</v>
      </c>
      <c r="S22" s="317">
        <f>S23+S24+S26+S30+S31+S32+S33</f>
        <v>190500</v>
      </c>
      <c r="T22" s="317">
        <f>T23+T24+T26+T30+T31+T32+T33</f>
        <v>0</v>
      </c>
      <c r="U22" s="317">
        <f>U23+U24+U26+U30+U31+U32+U33</f>
        <v>406576</v>
      </c>
      <c r="V22" s="245">
        <f t="shared" si="8"/>
        <v>0</v>
      </c>
      <c r="W22" s="245">
        <f t="shared" si="8"/>
        <v>381000</v>
      </c>
      <c r="X22" s="317">
        <f aca="true" t="shared" si="9" ref="X22:AD22">X23+X24+X26+X30+X31+X32+X33</f>
        <v>0</v>
      </c>
      <c r="Y22" s="317">
        <f>Y23+Y24+Y26+Y30+Y31+Y32+Y33</f>
        <v>0</v>
      </c>
      <c r="Z22" s="317">
        <f>Z23+Z24+Z26+Z30+Z31+Z32+Z33</f>
        <v>0</v>
      </c>
      <c r="AA22" s="317">
        <f t="shared" si="9"/>
        <v>0</v>
      </c>
      <c r="AB22" s="317">
        <f t="shared" si="9"/>
        <v>0</v>
      </c>
      <c r="AC22" s="317">
        <f t="shared" si="9"/>
        <v>0</v>
      </c>
      <c r="AD22" s="317">
        <f t="shared" si="9"/>
        <v>0</v>
      </c>
      <c r="AE22" s="989"/>
    </row>
    <row r="23" spans="1:31" ht="21.75" customHeight="1">
      <c r="A23" s="65"/>
      <c r="B23" s="66" t="s">
        <v>37</v>
      </c>
      <c r="C23" s="1211" t="s">
        <v>287</v>
      </c>
      <c r="D23" s="1211"/>
      <c r="E23" s="246">
        <f>'3.sz.m Önk  bev.'!E23+'5.1 sz. m Köz Hiv'!D11+'5.2 sz. m ÁMK'!D11</f>
        <v>29255146</v>
      </c>
      <c r="F23" s="246">
        <f>'3.sz.m Önk  bev.'!F23+'5.1 sz. m Köz Hiv'!E11+'5.2 sz. m ÁMK'!E11</f>
        <v>29258146</v>
      </c>
      <c r="G23" s="246">
        <f>'3.sz.m Önk  bev.'!G23+'5.1 sz. m Köz Hiv'!F11+'5.2 sz. m ÁMK'!F11</f>
        <v>0</v>
      </c>
      <c r="H23" s="246">
        <f>'3.sz.m Önk  bev.'!H23+'5.1 sz. m Köz Hiv'!G11+'5.2 sz. m ÁMK'!G11</f>
        <v>0</v>
      </c>
      <c r="I23" s="246">
        <f>'3.sz.m Önk  bev.'!I23+'5.1 sz. m Köz Hiv'!H11+'5.2 sz. m ÁMK'!H11</f>
        <v>0</v>
      </c>
      <c r="J23" s="246">
        <f>'3.sz.m Önk  bev.'!J23+'5.1 sz. m Köz Hiv'!I11+'5.2 sz. m ÁMK'!I11</f>
        <v>0</v>
      </c>
      <c r="K23" s="318">
        <f aca="true" t="shared" si="10" ref="K23:L25">+E23-R23</f>
        <v>29064646</v>
      </c>
      <c r="L23" s="318">
        <f t="shared" si="10"/>
        <v>29067646</v>
      </c>
      <c r="M23" s="246">
        <f>'3.sz.m Önk  bev.'!M23+'5.1 sz. m Köz Hiv'!L11+'5.2 sz. m ÁMK'!N11</f>
        <v>10941366</v>
      </c>
      <c r="N23" s="246">
        <f>'3.sz.m Önk  bev.'!O23+'5.1 sz. m Köz Hiv'!O11+'5.2 sz. m ÁMK'!O11</f>
        <v>-245263</v>
      </c>
      <c r="O23" s="246">
        <f>'3.sz.m Önk  bev.'!P23+'5.1 sz. m Köz Hiv'!P11+'5.2 sz. m ÁMK'!P11</f>
        <v>0</v>
      </c>
      <c r="P23" s="246">
        <f>'3.sz.m Önk  bev.'!Q23+'5.1 sz. m Köz Hiv'!Q11+'5.2 sz. m ÁMK'!Q11</f>
        <v>-300000</v>
      </c>
      <c r="Q23" s="246">
        <f>'3.sz.m Önk  bev.'!R23+'5.1 sz. m Köz Hiv'!R11+'5.2 sz. m ÁMK'!R11</f>
        <v>0</v>
      </c>
      <c r="R23" s="318">
        <f>+'3.sz.m Önk  bev.'!S23</f>
        <v>190500</v>
      </c>
      <c r="S23" s="318">
        <f>+'3.sz.m Önk  bev.'!T23</f>
        <v>190500</v>
      </c>
      <c r="T23" s="318">
        <v>0</v>
      </c>
      <c r="U23" s="318">
        <f>+'3.sz.m Önk  bev.'!V23</f>
        <v>245263</v>
      </c>
      <c r="V23" s="246"/>
      <c r="W23" s="246">
        <f>+'3.sz.m Önk  bev.'!X23</f>
        <v>300000</v>
      </c>
      <c r="X23" s="318">
        <v>0</v>
      </c>
      <c r="Y23" s="318">
        <v>0</v>
      </c>
      <c r="Z23" s="318">
        <v>0</v>
      </c>
      <c r="AA23" s="318">
        <v>0</v>
      </c>
      <c r="AB23" s="318">
        <v>0</v>
      </c>
      <c r="AC23" s="318">
        <v>0</v>
      </c>
      <c r="AD23" s="318">
        <v>0</v>
      </c>
      <c r="AE23" s="989"/>
    </row>
    <row r="24" spans="1:31" ht="21.75" customHeight="1">
      <c r="A24" s="64"/>
      <c r="B24" s="60" t="s">
        <v>38</v>
      </c>
      <c r="C24" s="1203" t="s">
        <v>288</v>
      </c>
      <c r="D24" s="1203"/>
      <c r="E24" s="246">
        <f>'3.sz.m Önk  bev.'!E24+'5.2 sz. m ÁMK'!D12</f>
        <v>7315000</v>
      </c>
      <c r="F24" s="246">
        <f>'3.sz.m Önk  bev.'!F24+'5.2 sz. m ÁMK'!E12</f>
        <v>7315000</v>
      </c>
      <c r="G24" s="246">
        <f>'3.sz.m Önk  bev.'!G24+'5.2 sz. m ÁMK'!F12</f>
        <v>0</v>
      </c>
      <c r="H24" s="246">
        <f>'3.sz.m Önk  bev.'!H24+'5.2 sz. m ÁMK'!G12</f>
        <v>0</v>
      </c>
      <c r="I24" s="246">
        <f>'3.sz.m Önk  bev.'!I24+'5.2 sz. m ÁMK'!H12+'5.1 sz. m Köz Hiv'!H12</f>
        <v>0</v>
      </c>
      <c r="J24" s="246">
        <f>'3.sz.m Önk  bev.'!J24+'5.2 sz. m ÁMK'!I12+'5.1 sz. m Köz Hiv'!I12</f>
        <v>0</v>
      </c>
      <c r="K24" s="318">
        <f t="shared" si="10"/>
        <v>7315000</v>
      </c>
      <c r="L24" s="318">
        <f t="shared" si="10"/>
        <v>7315000</v>
      </c>
      <c r="M24" s="246">
        <f>'3.sz.m Önk  bev.'!M24+'5.2 sz. m ÁMK'!N12</f>
        <v>3983000</v>
      </c>
      <c r="N24" s="246">
        <f>'3.sz.m Önk  bev.'!O24+'5.2 sz. m ÁMK'!O12+'5.1 sz. m Köz Hiv'!O12</f>
        <v>-61160</v>
      </c>
      <c r="O24" s="246">
        <f>'3.sz.m Önk  bev.'!P24+'5.2 sz. m ÁMK'!P12+'5.1 sz. m Köz Hiv'!P12</f>
        <v>0</v>
      </c>
      <c r="P24" s="246">
        <f>'3.sz.m Önk  bev.'!Q24+'5.2 sz. m ÁMK'!Q12+'5.1 sz. m Köz Hiv'!Q12</f>
        <v>0</v>
      </c>
      <c r="Q24" s="246">
        <f>'3.sz.m Önk  bev.'!R24+'5.2 sz. m ÁMK'!R12+'5.1 sz. m Köz Hiv'!R12</f>
        <v>0</v>
      </c>
      <c r="R24" s="320">
        <v>0</v>
      </c>
      <c r="S24" s="320">
        <v>0</v>
      </c>
      <c r="T24" s="320">
        <v>0</v>
      </c>
      <c r="U24" s="318">
        <f>+'3.sz.m Önk  bev.'!V24</f>
        <v>61160</v>
      </c>
      <c r="V24" s="248"/>
      <c r="W24" s="248"/>
      <c r="X24" s="320">
        <v>0</v>
      </c>
      <c r="Y24" s="320">
        <v>0</v>
      </c>
      <c r="Z24" s="320">
        <v>0</v>
      </c>
      <c r="AA24" s="320">
        <v>0</v>
      </c>
      <c r="AB24" s="320">
        <v>0</v>
      </c>
      <c r="AC24" s="320">
        <v>0</v>
      </c>
      <c r="AD24" s="320">
        <v>0</v>
      </c>
      <c r="AE24" s="989"/>
    </row>
    <row r="25" spans="1:31" ht="21.75" customHeight="1">
      <c r="A25" s="64"/>
      <c r="B25" s="60" t="s">
        <v>449</v>
      </c>
      <c r="C25" s="1203" t="s">
        <v>445</v>
      </c>
      <c r="D25" s="1208"/>
      <c r="E25" s="246">
        <f>'5.2 sz. m ÁMK'!D14</f>
        <v>6433487</v>
      </c>
      <c r="F25" s="246">
        <f>'5.2 sz. m ÁMK'!E14</f>
        <v>6433487</v>
      </c>
      <c r="G25" s="246">
        <f>'5.2 sz. m ÁMK'!F14</f>
        <v>0</v>
      </c>
      <c r="H25" s="246">
        <f>'5.2 sz. m ÁMK'!G14</f>
        <v>0</v>
      </c>
      <c r="I25" s="246">
        <f>'5.2 sz. m ÁMK'!H14</f>
        <v>0</v>
      </c>
      <c r="J25" s="246">
        <f>'5.2 sz. m ÁMK'!I14</f>
        <v>0</v>
      </c>
      <c r="K25" s="318">
        <f t="shared" si="10"/>
        <v>6433487</v>
      </c>
      <c r="L25" s="318">
        <f t="shared" si="10"/>
        <v>6433487</v>
      </c>
      <c r="M25" s="246">
        <f>'5.2 sz. m ÁMK'!N14</f>
        <v>0</v>
      </c>
      <c r="N25" s="246">
        <f>'5.2 sz. m ÁMK'!O14</f>
        <v>0</v>
      </c>
      <c r="O25" s="246">
        <f>'5.2 sz. m ÁMK'!P14</f>
        <v>0</v>
      </c>
      <c r="P25" s="246">
        <f>'5.2 sz. m ÁMK'!Q14</f>
        <v>0</v>
      </c>
      <c r="Q25" s="246">
        <f>'5.2 sz. m ÁMK'!R14</f>
        <v>0</v>
      </c>
      <c r="R25" s="320"/>
      <c r="S25" s="320"/>
      <c r="T25" s="320"/>
      <c r="U25" s="320"/>
      <c r="V25" s="248"/>
      <c r="W25" s="248"/>
      <c r="X25" s="320"/>
      <c r="Y25" s="320"/>
      <c r="Z25" s="320"/>
      <c r="AA25" s="320"/>
      <c r="AB25" s="320"/>
      <c r="AC25" s="320"/>
      <c r="AD25" s="320"/>
      <c r="AE25" s="989"/>
    </row>
    <row r="26" spans="1:31" ht="21.75" customHeight="1">
      <c r="A26" s="64"/>
      <c r="B26" s="60" t="s">
        <v>257</v>
      </c>
      <c r="C26" s="1203" t="s">
        <v>289</v>
      </c>
      <c r="D26" s="1203"/>
      <c r="E26" s="248">
        <f aca="true" t="shared" si="11" ref="E26:J26">SUM(E27:E29)</f>
        <v>1325401</v>
      </c>
      <c r="F26" s="248">
        <f t="shared" si="11"/>
        <v>1325401</v>
      </c>
      <c r="G26" s="248">
        <f>SUM(G27:G29)</f>
        <v>0</v>
      </c>
      <c r="H26" s="248">
        <f>SUM(H27:H29)</f>
        <v>0</v>
      </c>
      <c r="I26" s="248">
        <f t="shared" si="11"/>
        <v>0</v>
      </c>
      <c r="J26" s="248">
        <f t="shared" si="11"/>
        <v>0</v>
      </c>
      <c r="K26" s="320">
        <f aca="true" t="shared" si="12" ref="K26:Q26">SUM(K27:K29)</f>
        <v>1325401</v>
      </c>
      <c r="L26" s="320">
        <f>SUM(L27:L29)</f>
        <v>1325401</v>
      </c>
      <c r="M26" s="248">
        <f>SUM(M27:M29)</f>
        <v>1325401</v>
      </c>
      <c r="N26" s="248">
        <f t="shared" si="12"/>
        <v>0</v>
      </c>
      <c r="O26" s="248">
        <f t="shared" si="12"/>
        <v>0</v>
      </c>
      <c r="P26" s="248">
        <f>SUM(P27:P29)</f>
        <v>0</v>
      </c>
      <c r="Q26" s="248">
        <f t="shared" si="12"/>
        <v>2</v>
      </c>
      <c r="R26" s="320">
        <v>0</v>
      </c>
      <c r="S26" s="320">
        <v>0</v>
      </c>
      <c r="T26" s="320">
        <v>0</v>
      </c>
      <c r="U26" s="320">
        <v>0</v>
      </c>
      <c r="V26" s="248">
        <f>SUM(V27:V29)</f>
        <v>0</v>
      </c>
      <c r="W26" s="248">
        <f>SUM(W27:W29)</f>
        <v>0</v>
      </c>
      <c r="X26" s="320">
        <v>0</v>
      </c>
      <c r="Y26" s="320">
        <v>0</v>
      </c>
      <c r="Z26" s="320">
        <v>0</v>
      </c>
      <c r="AA26" s="320">
        <v>0</v>
      </c>
      <c r="AB26" s="320">
        <v>0</v>
      </c>
      <c r="AC26" s="320">
        <v>0</v>
      </c>
      <c r="AD26" s="320">
        <v>0</v>
      </c>
      <c r="AE26" s="989"/>
    </row>
    <row r="27" spans="1:31" ht="31.5" customHeight="1">
      <c r="A27" s="64"/>
      <c r="B27" s="60"/>
      <c r="C27" s="60" t="s">
        <v>450</v>
      </c>
      <c r="D27" s="281" t="s">
        <v>290</v>
      </c>
      <c r="E27" s="248">
        <f>'3.sz.m Önk  bev.'!E26+'5.2 sz. m ÁMK'!D13</f>
        <v>829648</v>
      </c>
      <c r="F27" s="248">
        <f>'3.sz.m Önk  bev.'!F26+'5.2 sz. m ÁMK'!E13</f>
        <v>829648</v>
      </c>
      <c r="G27" s="248">
        <f>'3.sz.m Önk  bev.'!G26+'5.2 sz. m ÁMK'!F13</f>
        <v>0</v>
      </c>
      <c r="H27" s="248">
        <f>'3.sz.m Önk  bev.'!H26+'5.2 sz. m ÁMK'!G13</f>
        <v>0</v>
      </c>
      <c r="I27" s="248">
        <f>'3.sz.m Önk  bev.'!I26+'5.2 sz. m ÁMK'!H13</f>
        <v>0</v>
      </c>
      <c r="J27" s="248">
        <f>'3.sz.m Önk  bev.'!J26+'5.2 sz. m ÁMK'!I13</f>
        <v>0</v>
      </c>
      <c r="K27" s="320">
        <f>'3.sz.m Önk  bev.'!L26</f>
        <v>829648</v>
      </c>
      <c r="L27" s="320">
        <f>'3.sz.m Önk  bev.'!M26</f>
        <v>829648</v>
      </c>
      <c r="M27" s="248">
        <f>'3.sz.m Önk  bev.'!M26+'5.2 sz. m ÁMK'!F13</f>
        <v>829648</v>
      </c>
      <c r="N27" s="248">
        <f>'3.sz.m Önk  bev.'!O26+'5.2 sz. m ÁMK'!O13</f>
        <v>0</v>
      </c>
      <c r="O27" s="248">
        <f>'3.sz.m Önk  bev.'!P26+'5.2 sz. m ÁMK'!P13</f>
        <v>0</v>
      </c>
      <c r="P27" s="248">
        <f>'3.sz.m Önk  bev.'!Q26+'5.2 sz. m ÁMK'!Q13</f>
        <v>0</v>
      </c>
      <c r="Q27" s="248">
        <f>'3.sz.m Önk  bev.'!R26+'5.2 sz. m ÁMK'!R13</f>
        <v>0</v>
      </c>
      <c r="R27" s="320">
        <v>0</v>
      </c>
      <c r="S27" s="320">
        <v>0</v>
      </c>
      <c r="T27" s="320">
        <v>0</v>
      </c>
      <c r="U27" s="320">
        <v>0</v>
      </c>
      <c r="V27" s="248">
        <f>'3.sz.m Önk  bev.'!W26</f>
        <v>0</v>
      </c>
      <c r="W27" s="248">
        <f>'3.sz.m Önk  bev.'!X26</f>
        <v>0</v>
      </c>
      <c r="X27" s="320">
        <v>0</v>
      </c>
      <c r="Y27" s="320">
        <v>0</v>
      </c>
      <c r="Z27" s="320">
        <v>0</v>
      </c>
      <c r="AA27" s="320">
        <v>0</v>
      </c>
      <c r="AB27" s="320">
        <v>0</v>
      </c>
      <c r="AC27" s="320">
        <v>0</v>
      </c>
      <c r="AD27" s="320">
        <v>0</v>
      </c>
      <c r="AE27" s="989"/>
    </row>
    <row r="28" spans="1:31" ht="41.25" customHeight="1">
      <c r="A28" s="64"/>
      <c r="B28" s="60"/>
      <c r="C28" s="60" t="s">
        <v>451</v>
      </c>
      <c r="D28" s="281" t="s">
        <v>291</v>
      </c>
      <c r="E28" s="248">
        <f>'3.sz.m Önk  bev.'!E27</f>
        <v>495753</v>
      </c>
      <c r="F28" s="248">
        <f>'3.sz.m Önk  bev.'!F27</f>
        <v>495753</v>
      </c>
      <c r="G28" s="248">
        <f>'3.sz.m Önk  bev.'!G27</f>
        <v>0</v>
      </c>
      <c r="H28" s="248">
        <f>'3.sz.m Önk  bev.'!H27</f>
        <v>0</v>
      </c>
      <c r="I28" s="248">
        <f>'3.sz.m Önk  bev.'!I27</f>
        <v>0</v>
      </c>
      <c r="J28" s="248">
        <f>'3.sz.m Önk  bev.'!J27</f>
        <v>0</v>
      </c>
      <c r="K28" s="320">
        <f>'3.sz.m Önk  bev.'!L27</f>
        <v>495753</v>
      </c>
      <c r="L28" s="320">
        <f>'3.sz.m Önk  bev.'!M27</f>
        <v>495753</v>
      </c>
      <c r="M28" s="248">
        <f>'3.sz.m Önk  bev.'!M27</f>
        <v>495753</v>
      </c>
      <c r="N28" s="248">
        <f>'3.sz.m Önk  bev.'!O27</f>
        <v>0</v>
      </c>
      <c r="O28" s="248">
        <f>'3.sz.m Önk  bev.'!P27</f>
        <v>0</v>
      </c>
      <c r="P28" s="248">
        <f>'3.sz.m Önk  bev.'!Q27</f>
        <v>0</v>
      </c>
      <c r="Q28" s="248">
        <f>'3.sz.m Önk  bev.'!R27</f>
        <v>0</v>
      </c>
      <c r="R28" s="320">
        <v>0</v>
      </c>
      <c r="S28" s="320">
        <v>0</v>
      </c>
      <c r="T28" s="320">
        <v>0</v>
      </c>
      <c r="U28" s="320">
        <v>0</v>
      </c>
      <c r="V28" s="248"/>
      <c r="W28" s="248"/>
      <c r="X28" s="320">
        <v>0</v>
      </c>
      <c r="Y28" s="320">
        <v>0</v>
      </c>
      <c r="Z28" s="320">
        <v>0</v>
      </c>
      <c r="AA28" s="320">
        <v>0</v>
      </c>
      <c r="AB28" s="320">
        <v>0</v>
      </c>
      <c r="AC28" s="320">
        <v>0</v>
      </c>
      <c r="AD28" s="320">
        <v>0</v>
      </c>
      <c r="AE28" s="989"/>
    </row>
    <row r="29" spans="1:31" ht="21.75" customHeight="1">
      <c r="A29" s="64"/>
      <c r="B29" s="60"/>
      <c r="C29" s="60" t="s">
        <v>452</v>
      </c>
      <c r="D29" s="281" t="s">
        <v>462</v>
      </c>
      <c r="E29" s="248">
        <f>'3.sz.m Önk  bev.'!E28</f>
        <v>0</v>
      </c>
      <c r="F29" s="248">
        <f>'3.sz.m Önk  bev.'!F28</f>
        <v>0</v>
      </c>
      <c r="G29" s="248">
        <f>'3.sz.m Önk  bev.'!G28</f>
        <v>0</v>
      </c>
      <c r="H29" s="248">
        <f>'3.sz.m Önk  bev.'!H28</f>
        <v>0</v>
      </c>
      <c r="I29" s="248">
        <f>'3.sz.m Önk  bev.'!I28</f>
        <v>0</v>
      </c>
      <c r="J29" s="248">
        <f>'3.sz.m Önk  bev.'!J28</f>
        <v>0</v>
      </c>
      <c r="K29" s="320">
        <f>'3.sz.m Önk  bev.'!L28</f>
        <v>0</v>
      </c>
      <c r="L29" s="320">
        <f>'3.sz.m Önk  bev.'!M28</f>
        <v>0</v>
      </c>
      <c r="M29" s="248">
        <f>'3.sz.m Önk  bev.'!M28</f>
        <v>0</v>
      </c>
      <c r="N29" s="248">
        <f>'3.sz.m Önk  bev.'!O28</f>
        <v>0</v>
      </c>
      <c r="O29" s="248">
        <f>'3.sz.m Önk  bev.'!P28</f>
        <v>0</v>
      </c>
      <c r="P29" s="248">
        <f>'3.sz.m Önk  bev.'!Q28</f>
        <v>0</v>
      </c>
      <c r="Q29" s="248">
        <f>'3.sz.m Önk  bev.'!R28</f>
        <v>2</v>
      </c>
      <c r="R29" s="320">
        <v>0</v>
      </c>
      <c r="S29" s="320">
        <v>0</v>
      </c>
      <c r="T29" s="320">
        <v>0</v>
      </c>
      <c r="U29" s="320">
        <v>0</v>
      </c>
      <c r="V29" s="248"/>
      <c r="W29" s="248"/>
      <c r="X29" s="320">
        <v>0</v>
      </c>
      <c r="Y29" s="320">
        <v>0</v>
      </c>
      <c r="Z29" s="320">
        <v>0</v>
      </c>
      <c r="AA29" s="320">
        <v>0</v>
      </c>
      <c r="AB29" s="320">
        <v>0</v>
      </c>
      <c r="AC29" s="320">
        <v>0</v>
      </c>
      <c r="AD29" s="320">
        <v>0</v>
      </c>
      <c r="AE29" s="989"/>
    </row>
    <row r="30" spans="1:31" ht="21.75" customHeight="1">
      <c r="A30" s="64"/>
      <c r="B30" s="60" t="s">
        <v>293</v>
      </c>
      <c r="C30" s="1203" t="s">
        <v>292</v>
      </c>
      <c r="D30" s="1203"/>
      <c r="E30" s="248">
        <f>'3.sz.m Önk  bev.'!E29+'5.2 sz. m ÁMK'!D15</f>
        <v>7601037</v>
      </c>
      <c r="F30" s="248">
        <f>'3.sz.m Önk  bev.'!F29+'5.2 sz. m ÁMK'!E15</f>
        <v>7601037</v>
      </c>
      <c r="G30" s="248">
        <f>'3.sz.m Önk  bev.'!G29+'5.2 sz. m ÁMK'!F15</f>
        <v>0</v>
      </c>
      <c r="H30" s="248">
        <f>'3.sz.m Önk  bev.'!H29+'5.2 sz. m ÁMK'!G15</f>
        <v>0</v>
      </c>
      <c r="I30" s="248">
        <f>'3.sz.m Önk  bev.'!I29+'5.2 sz. m ÁMK'!H15</f>
        <v>0</v>
      </c>
      <c r="J30" s="248">
        <f>'3.sz.m Önk  bev.'!J29+'5.2 sz. m ÁMK'!I15</f>
        <v>0</v>
      </c>
      <c r="K30" s="318">
        <f>+E30-R30</f>
        <v>7601037</v>
      </c>
      <c r="L30" s="318">
        <f>+F30-S30</f>
        <v>7601037</v>
      </c>
      <c r="M30" s="248">
        <f>'3.sz.m Önk  bev.'!M29+'5.2 sz. m ÁMK'!N15</f>
        <v>1115910</v>
      </c>
      <c r="N30" s="248">
        <f>'3.sz.m Önk  bev.'!O29+'5.2 sz. m ÁMK'!O15</f>
        <v>-82733</v>
      </c>
      <c r="O30" s="248">
        <f>'3.sz.m Önk  bev.'!P29+'5.2 sz. m ÁMK'!P15</f>
        <v>0</v>
      </c>
      <c r="P30" s="248">
        <f>'3.sz.m Önk  bev.'!Q29+'5.2 sz. m ÁMK'!Q15</f>
        <v>-81000</v>
      </c>
      <c r="Q30" s="248">
        <f>'3.sz.m Önk  bev.'!R29+'5.2 sz. m ÁMK'!R15</f>
        <v>0</v>
      </c>
      <c r="R30" s="320">
        <v>0</v>
      </c>
      <c r="S30" s="320">
        <v>0</v>
      </c>
      <c r="T30" s="320">
        <v>0</v>
      </c>
      <c r="U30" s="320">
        <f>+'3.sz.m Önk  bev.'!V29</f>
        <v>82733</v>
      </c>
      <c r="V30" s="248"/>
      <c r="W30" s="248">
        <f>+'3.sz.m Önk  bev.'!X29</f>
        <v>81000</v>
      </c>
      <c r="X30" s="320">
        <v>0</v>
      </c>
      <c r="Y30" s="320">
        <v>0</v>
      </c>
      <c r="Z30" s="320">
        <v>0</v>
      </c>
      <c r="AA30" s="320">
        <v>0</v>
      </c>
      <c r="AB30" s="320">
        <v>0</v>
      </c>
      <c r="AC30" s="320">
        <v>0</v>
      </c>
      <c r="AD30" s="320">
        <v>0</v>
      </c>
      <c r="AE30" s="989"/>
    </row>
    <row r="31" spans="1:31" ht="21.75" customHeight="1" hidden="1">
      <c r="A31" s="68"/>
      <c r="B31" s="69" t="s">
        <v>295</v>
      </c>
      <c r="C31" s="1203" t="s">
        <v>294</v>
      </c>
      <c r="D31" s="1208"/>
      <c r="E31" s="248">
        <f>'3.sz.m Önk  bev.'!E30</f>
        <v>0</v>
      </c>
      <c r="F31" s="248">
        <f>'3.sz.m Önk  bev.'!F30</f>
        <v>229308</v>
      </c>
      <c r="G31" s="248">
        <f>'3.sz.m Önk  bev.'!G30</f>
        <v>0</v>
      </c>
      <c r="H31" s="248"/>
      <c r="I31" s="248"/>
      <c r="J31" s="248"/>
      <c r="K31" s="320">
        <f>'3.sz.m Önk  bev.'!L30</f>
        <v>0</v>
      </c>
      <c r="L31" s="320">
        <f>'3.sz.m Önk  bev.'!M30</f>
        <v>229308</v>
      </c>
      <c r="M31" s="248">
        <f>'3.sz.m Önk  bev.'!M30</f>
        <v>229308</v>
      </c>
      <c r="N31" s="248">
        <f>'3.sz.m Önk  bev.'!N30</f>
        <v>0</v>
      </c>
      <c r="O31" s="248">
        <f>'3.sz.m Önk  bev.'!O30</f>
        <v>0</v>
      </c>
      <c r="P31" s="248">
        <f>'3.sz.m Önk  bev.'!P30</f>
        <v>0</v>
      </c>
      <c r="Q31" s="248">
        <f>'3.sz.m Önk  bev.'!Q30</f>
        <v>0</v>
      </c>
      <c r="R31" s="320">
        <v>0</v>
      </c>
      <c r="S31" s="320">
        <v>0</v>
      </c>
      <c r="T31" s="320">
        <v>0</v>
      </c>
      <c r="U31" s="320">
        <v>0</v>
      </c>
      <c r="V31" s="248"/>
      <c r="W31" s="248"/>
      <c r="X31" s="320">
        <v>0</v>
      </c>
      <c r="Y31" s="320">
        <v>0</v>
      </c>
      <c r="Z31" s="320">
        <v>0</v>
      </c>
      <c r="AA31" s="320">
        <v>0</v>
      </c>
      <c r="AB31" s="320">
        <v>0</v>
      </c>
      <c r="AC31" s="320">
        <v>0</v>
      </c>
      <c r="AD31" s="320">
        <v>0</v>
      </c>
      <c r="AE31" s="989"/>
    </row>
    <row r="32" spans="1:31" ht="21.75" customHeight="1">
      <c r="A32" s="68"/>
      <c r="B32" s="69" t="s">
        <v>295</v>
      </c>
      <c r="C32" s="1203" t="s">
        <v>296</v>
      </c>
      <c r="D32" s="1208"/>
      <c r="E32" s="248">
        <f>'3.sz.m Önk  bev.'!E31+'5.1 sz. m Köz Hiv'!D13+'5.2 sz. m ÁMK'!D16</f>
        <v>100100</v>
      </c>
      <c r="F32" s="248">
        <f>'3.sz.m Önk  bev.'!F31+'5.1 sz. m Köz Hiv'!E13+'5.2 sz. m ÁMK'!E16</f>
        <v>100200</v>
      </c>
      <c r="G32" s="248">
        <f>'3.sz.m Önk  bev.'!G31+'5.1 sz. m Köz Hiv'!F13+'5.2 sz. m ÁMK'!F16</f>
        <v>0</v>
      </c>
      <c r="H32" s="248">
        <f>'3.sz.m Önk  bev.'!H31+'5.1 sz. m Köz Hiv'!G13+'5.2 sz. m ÁMK'!G16</f>
        <v>0</v>
      </c>
      <c r="I32" s="248">
        <f>'3.sz.m Önk  bev.'!I31+'5.1 sz. m Köz Hiv'!H13+'5.2 sz. m ÁMK'!H16</f>
        <v>0</v>
      </c>
      <c r="J32" s="248">
        <f>'3.sz.m Önk  bev.'!J31+'5.1 sz. m Köz Hiv'!I13+'5.2 sz. m ÁMK'!I16</f>
        <v>0</v>
      </c>
      <c r="K32" s="318">
        <f>+E32-R32</f>
        <v>100100</v>
      </c>
      <c r="L32" s="318">
        <f>+F32-S32</f>
        <v>100200</v>
      </c>
      <c r="M32" s="248">
        <f>'3.sz.m Önk  bev.'!M31+'5.1 sz. m Köz Hiv'!N13+'5.2 sz. m ÁMK'!N16</f>
        <v>100000</v>
      </c>
      <c r="N32" s="248">
        <f>'3.sz.m Önk  bev.'!O31+'5.1 sz. m Köz Hiv'!O13+'5.2 sz. m ÁMK'!O16</f>
        <v>-17420</v>
      </c>
      <c r="O32" s="248">
        <f>'3.sz.m Önk  bev.'!P31+'5.1 sz. m Köz Hiv'!P13+'5.2 sz. m ÁMK'!P16</f>
        <v>0</v>
      </c>
      <c r="P32" s="248">
        <f>'3.sz.m Önk  bev.'!Q31+'5.1 sz. m Köz Hiv'!Q13+'5.2 sz. m ÁMK'!Q16</f>
        <v>0</v>
      </c>
      <c r="Q32" s="248">
        <f>'3.sz.m Önk  bev.'!R31+'5.1 sz. m Köz Hiv'!R13+'5.2 sz. m ÁMK'!R16</f>
        <v>0</v>
      </c>
      <c r="R32" s="320">
        <v>0</v>
      </c>
      <c r="S32" s="320">
        <v>0</v>
      </c>
      <c r="T32" s="320">
        <v>0</v>
      </c>
      <c r="U32" s="320">
        <f>+'3.sz.m Önk  bev.'!V31</f>
        <v>17420</v>
      </c>
      <c r="V32" s="248"/>
      <c r="W32" s="248"/>
      <c r="X32" s="320">
        <v>0</v>
      </c>
      <c r="Y32" s="320">
        <v>0</v>
      </c>
      <c r="Z32" s="320">
        <v>0</v>
      </c>
      <c r="AA32" s="320">
        <v>0</v>
      </c>
      <c r="AB32" s="320">
        <v>0</v>
      </c>
      <c r="AC32" s="320">
        <v>0</v>
      </c>
      <c r="AD32" s="320">
        <v>0</v>
      </c>
      <c r="AE32" s="989"/>
    </row>
    <row r="33" spans="1:31" ht="21.75" customHeight="1">
      <c r="A33" s="68"/>
      <c r="B33" s="69" t="s">
        <v>453</v>
      </c>
      <c r="C33" s="1202" t="s">
        <v>67</v>
      </c>
      <c r="D33" s="1202"/>
      <c r="E33" s="248">
        <f>'3.sz.m Önk  bev.'!E32+'5.1 sz. m Köz Hiv'!D14+'5.2 sz. m ÁMK'!D17</f>
        <v>22190821</v>
      </c>
      <c r="F33" s="248">
        <f>'3.sz.m Önk  bev.'!F32+'5.1 sz. m Köz Hiv'!E14+'5.2 sz. m ÁMK'!E17</f>
        <v>10322770</v>
      </c>
      <c r="G33" s="248">
        <f>'3.sz.m Önk  bev.'!G32+'5.1 sz. m Köz Hiv'!F14+'5.2 sz. m ÁMK'!F17</f>
        <v>0</v>
      </c>
      <c r="H33" s="248">
        <f>'3.sz.m Önk  bev.'!H32+'5.1 sz. m Köz Hiv'!G14+'5.2 sz. m ÁMK'!G17</f>
        <v>0</v>
      </c>
      <c r="I33" s="248">
        <f>'3.sz.m Önk  bev.'!I32+'5.1 sz. m Köz Hiv'!H14+'5.2 sz. m ÁMK'!H17</f>
        <v>0</v>
      </c>
      <c r="J33" s="248">
        <f>'3.sz.m Önk  bev.'!J32+'5.1 sz. m Köz Hiv'!I14+'5.2 sz. m ÁMK'!I17</f>
        <v>0</v>
      </c>
      <c r="K33" s="318">
        <f>+E33-R33</f>
        <v>22190821</v>
      </c>
      <c r="L33" s="318">
        <f>+F33-S33</f>
        <v>10322770</v>
      </c>
      <c r="M33" s="248">
        <f>+'3.sz.m Önk  bev.'!N32+'5.1 sz. m Köz Hiv'!N14+'5.2 sz. m ÁMK'!N17</f>
        <v>0</v>
      </c>
      <c r="N33" s="248">
        <f>+'3.sz.m Önk  bev.'!O32+'5.1 sz. m Köz Hiv'!O14+'5.2 sz. m ÁMK'!O17</f>
        <v>0</v>
      </c>
      <c r="O33" s="320">
        <f>'3.sz.m Önk  bev.'!P32</f>
        <v>0</v>
      </c>
      <c r="P33" s="320">
        <f>'3.sz.m Önk  bev.'!Q32</f>
        <v>0</v>
      </c>
      <c r="Q33" s="320">
        <f>'3.sz.m Önk  bev.'!R32</f>
        <v>0</v>
      </c>
      <c r="R33" s="320">
        <v>0</v>
      </c>
      <c r="S33" s="320">
        <v>0</v>
      </c>
      <c r="T33" s="320">
        <v>0</v>
      </c>
      <c r="U33" s="320"/>
      <c r="V33" s="248"/>
      <c r="W33" s="248"/>
      <c r="X33" s="320">
        <v>0</v>
      </c>
      <c r="Y33" s="320">
        <v>0</v>
      </c>
      <c r="Z33" s="320">
        <v>0</v>
      </c>
      <c r="AA33" s="320">
        <v>0</v>
      </c>
      <c r="AB33" s="320">
        <v>0</v>
      </c>
      <c r="AC33" s="320">
        <v>0</v>
      </c>
      <c r="AD33" s="320">
        <v>0</v>
      </c>
      <c r="AE33" s="989"/>
    </row>
    <row r="34" spans="1:31" ht="21.75" customHeight="1" thickBot="1">
      <c r="A34" s="68"/>
      <c r="B34" s="69" t="s">
        <v>492</v>
      </c>
      <c r="C34" s="1203" t="s">
        <v>491</v>
      </c>
      <c r="D34" s="1208"/>
      <c r="E34" s="248"/>
      <c r="F34" s="248"/>
      <c r="G34" s="248"/>
      <c r="H34" s="248">
        <f>'3.sz.m Önk  bev.'!H30</f>
        <v>0</v>
      </c>
      <c r="I34" s="248">
        <f>'3.sz.m Önk  bev.'!I30</f>
        <v>0</v>
      </c>
      <c r="J34" s="248">
        <f>'3.sz.m Önk  bev.'!J30</f>
        <v>0</v>
      </c>
      <c r="K34" s="320"/>
      <c r="L34" s="320"/>
      <c r="M34" s="320"/>
      <c r="N34" s="248">
        <f>+'3.sz.m Önk  bev.'!O30</f>
        <v>0</v>
      </c>
      <c r="O34" s="248">
        <f>'3.sz.m Önk  bev.'!P30</f>
        <v>0</v>
      </c>
      <c r="P34" s="248">
        <f>+'3.sz.m Önk  bev.'!Q30</f>
        <v>0</v>
      </c>
      <c r="Q34" s="248"/>
      <c r="R34" s="320"/>
      <c r="S34" s="320"/>
      <c r="T34" s="320"/>
      <c r="U34" s="320"/>
      <c r="V34" s="248"/>
      <c r="W34" s="248"/>
      <c r="X34" s="320"/>
      <c r="Y34" s="320"/>
      <c r="Z34" s="320"/>
      <c r="AA34" s="320"/>
      <c r="AB34" s="320"/>
      <c r="AC34" s="320"/>
      <c r="AD34" s="320"/>
      <c r="AE34" s="989"/>
    </row>
    <row r="35" spans="1:31" ht="42.75" customHeight="1" thickBot="1">
      <c r="A35" s="71" t="s">
        <v>9</v>
      </c>
      <c r="B35" s="1197" t="s">
        <v>297</v>
      </c>
      <c r="C35" s="1197"/>
      <c r="D35" s="1197"/>
      <c r="E35" s="312">
        <f aca="true" t="shared" si="13" ref="E35:P35">SUM(E36:E40)</f>
        <v>326093376</v>
      </c>
      <c r="F35" s="74">
        <f t="shared" si="13"/>
        <v>337958427</v>
      </c>
      <c r="G35" s="74">
        <f t="shared" si="13"/>
        <v>0</v>
      </c>
      <c r="H35" s="74">
        <f>SUM(H36:H40)</f>
        <v>0</v>
      </c>
      <c r="I35" s="74">
        <f t="shared" si="13"/>
        <v>0</v>
      </c>
      <c r="J35" s="74">
        <f t="shared" si="13"/>
        <v>0</v>
      </c>
      <c r="K35" s="312">
        <f t="shared" si="13"/>
        <v>321280777</v>
      </c>
      <c r="L35" s="312">
        <f>SUM(L36:L40)</f>
        <v>333145828</v>
      </c>
      <c r="M35" s="312">
        <f>SUM(M36:M40)</f>
        <v>-86459321</v>
      </c>
      <c r="N35" s="74">
        <f t="shared" si="13"/>
        <v>0</v>
      </c>
      <c r="O35" s="74">
        <f t="shared" si="13"/>
        <v>0</v>
      </c>
      <c r="P35" s="74">
        <f t="shared" si="13"/>
        <v>0</v>
      </c>
      <c r="Q35" s="676" t="e">
        <f t="shared" si="4"/>
        <v>#DIV/0!</v>
      </c>
      <c r="R35" s="312">
        <f>SUM(R36:R40)</f>
        <v>4812599</v>
      </c>
      <c r="S35" s="312">
        <f>SUM(S36:S40)</f>
        <v>4812599</v>
      </c>
      <c r="T35" s="312">
        <f>SUM(T36:T40)</f>
        <v>86459321</v>
      </c>
      <c r="U35" s="312">
        <f>SUM(U36:U40)</f>
        <v>86566001</v>
      </c>
      <c r="V35" s="74"/>
      <c r="W35" s="74"/>
      <c r="X35" s="312">
        <v>0</v>
      </c>
      <c r="Y35" s="312">
        <v>0</v>
      </c>
      <c r="Z35" s="312">
        <v>0</v>
      </c>
      <c r="AA35" s="312">
        <v>0</v>
      </c>
      <c r="AB35" s="312">
        <v>0</v>
      </c>
      <c r="AC35" s="312">
        <v>0</v>
      </c>
      <c r="AD35" s="312">
        <v>0</v>
      </c>
      <c r="AE35" s="989"/>
    </row>
    <row r="36" spans="1:31" ht="21.75" customHeight="1">
      <c r="A36" s="65"/>
      <c r="B36" s="69" t="s">
        <v>40</v>
      </c>
      <c r="C36" s="1216" t="s">
        <v>298</v>
      </c>
      <c r="D36" s="1217"/>
      <c r="E36" s="320">
        <f>'3.sz.m Önk  bev.'!E34</f>
        <v>294726379</v>
      </c>
      <c r="F36" s="248">
        <f>'3.sz.m Önk  bev.'!F34</f>
        <v>306591430</v>
      </c>
      <c r="G36" s="248">
        <f>'3.sz.m Önk  bev.'!G34</f>
        <v>0</v>
      </c>
      <c r="H36" s="248">
        <f>'3.sz.m Önk  bev.'!H34</f>
        <v>0</v>
      </c>
      <c r="I36" s="248">
        <f>'3.sz.m Önk  bev.'!I34</f>
        <v>0</v>
      </c>
      <c r="J36" s="248">
        <f>'3.sz.m Önk  bev.'!J34</f>
        <v>0</v>
      </c>
      <c r="K36" s="320">
        <f>'3.sz.m Önk  bev.'!L34</f>
        <v>294726379</v>
      </c>
      <c r="L36" s="320">
        <f>'3.sz.m Önk  bev.'!M34</f>
        <v>306591430</v>
      </c>
      <c r="M36" s="320">
        <f>'3.sz.m Önk  bev.'!N34</f>
        <v>0</v>
      </c>
      <c r="N36" s="248">
        <f>'3.sz.m Önk  bev.'!O34</f>
        <v>0</v>
      </c>
      <c r="O36" s="248">
        <f>'3.sz.m Önk  bev.'!P34</f>
        <v>0</v>
      </c>
      <c r="P36" s="248">
        <f>'3.sz.m Önk  bev.'!Q34</f>
        <v>0</v>
      </c>
      <c r="Q36" s="677" t="e">
        <f t="shared" si="4"/>
        <v>#DIV/0!</v>
      </c>
      <c r="R36" s="319">
        <f>'3.sz.m Önk  bev.'!S36</f>
        <v>0</v>
      </c>
      <c r="S36" s="319">
        <f>'3.sz.m Önk  bev.'!T36</f>
        <v>0</v>
      </c>
      <c r="T36" s="319">
        <f>'3.sz.m Önk  bev.'!U36</f>
        <v>0</v>
      </c>
      <c r="U36" s="319">
        <f>'3.sz.m Önk  bev.'!V36</f>
        <v>0</v>
      </c>
      <c r="V36" s="248"/>
      <c r="W36" s="248"/>
      <c r="X36" s="320">
        <v>0</v>
      </c>
      <c r="Y36" s="320">
        <v>0</v>
      </c>
      <c r="Z36" s="320">
        <v>0</v>
      </c>
      <c r="AA36" s="320">
        <v>0</v>
      </c>
      <c r="AB36" s="320">
        <v>0</v>
      </c>
      <c r="AC36" s="320">
        <v>0</v>
      </c>
      <c r="AD36" s="320">
        <v>0</v>
      </c>
      <c r="AE36" s="989"/>
    </row>
    <row r="37" spans="1:31" ht="21.75" customHeight="1">
      <c r="A37" s="64"/>
      <c r="B37" s="69" t="s">
        <v>41</v>
      </c>
      <c r="C37" s="1203" t="s">
        <v>457</v>
      </c>
      <c r="D37" s="1208"/>
      <c r="E37" s="320">
        <f>'3.sz.m Önk  bev.'!E35</f>
        <v>0</v>
      </c>
      <c r="F37" s="248">
        <f>'3.sz.m Önk  bev.'!F35</f>
        <v>0</v>
      </c>
      <c r="G37" s="248">
        <f>'3.sz.m Önk  bev.'!G35</f>
        <v>0</v>
      </c>
      <c r="H37" s="248">
        <f>'3.sz.m Önk  bev.'!H35</f>
        <v>0</v>
      </c>
      <c r="I37" s="248">
        <f>'3.sz.m Önk  bev.'!I35</f>
        <v>0</v>
      </c>
      <c r="J37" s="248">
        <f>'3.sz.m Önk  bev.'!J35</f>
        <v>0</v>
      </c>
      <c r="K37" s="320">
        <f>'3.sz.m Önk  bev.'!L35</f>
        <v>0</v>
      </c>
      <c r="L37" s="320">
        <f>'3.sz.m Önk  bev.'!M35</f>
        <v>0</v>
      </c>
      <c r="M37" s="320">
        <f>'3.sz.m Önk  bev.'!N35</f>
        <v>0</v>
      </c>
      <c r="N37" s="248">
        <f>'3.sz.m Önk  bev.'!O35</f>
        <v>0</v>
      </c>
      <c r="O37" s="248">
        <f>'3.sz.m Önk  bev.'!P35</f>
        <v>0</v>
      </c>
      <c r="P37" s="248">
        <f>'3.sz.m Önk  bev.'!Q35</f>
        <v>0</v>
      </c>
      <c r="Q37" s="678" t="e">
        <f t="shared" si="4"/>
        <v>#DIV/0!</v>
      </c>
      <c r="R37" s="320">
        <v>0</v>
      </c>
      <c r="S37" s="320">
        <v>0</v>
      </c>
      <c r="T37" s="320">
        <v>0</v>
      </c>
      <c r="U37" s="320">
        <v>0</v>
      </c>
      <c r="V37" s="248"/>
      <c r="W37" s="248"/>
      <c r="X37" s="320">
        <v>0</v>
      </c>
      <c r="Y37" s="320">
        <v>0</v>
      </c>
      <c r="Z37" s="320">
        <v>0</v>
      </c>
      <c r="AA37" s="320">
        <v>0</v>
      </c>
      <c r="AB37" s="320">
        <v>0</v>
      </c>
      <c r="AC37" s="320">
        <v>0</v>
      </c>
      <c r="AD37" s="320">
        <v>0</v>
      </c>
      <c r="AE37" s="989"/>
    </row>
    <row r="38" spans="1:31" ht="21.75" customHeight="1">
      <c r="A38" s="64"/>
      <c r="B38" s="69" t="s">
        <v>64</v>
      </c>
      <c r="C38" s="1203" t="s">
        <v>547</v>
      </c>
      <c r="D38" s="1203"/>
      <c r="E38" s="320">
        <f>'3.sz.m Önk  bev.'!E36</f>
        <v>0</v>
      </c>
      <c r="F38" s="248">
        <f>'3.sz.m Önk  bev.'!F36</f>
        <v>0</v>
      </c>
      <c r="G38" s="248">
        <f>'3.sz.m Önk  bev.'!G36</f>
        <v>0</v>
      </c>
      <c r="H38" s="248">
        <f>'3.sz.m Önk  bev.'!H36</f>
        <v>0</v>
      </c>
      <c r="I38" s="248">
        <f>'3.sz.m Önk  bev.'!I36</f>
        <v>0</v>
      </c>
      <c r="J38" s="248">
        <f>'3.sz.m Önk  bev.'!J36</f>
        <v>0</v>
      </c>
      <c r="K38" s="320">
        <f>'3.sz.m Önk  bev.'!L36</f>
        <v>0</v>
      </c>
      <c r="L38" s="320">
        <f>'3.sz.m Önk  bev.'!M36</f>
        <v>0</v>
      </c>
      <c r="M38" s="320">
        <f>'3.sz.m Önk  bev.'!N36</f>
        <v>0</v>
      </c>
      <c r="N38" s="248">
        <f>'3.sz.m Önk  bev.'!O36</f>
        <v>0</v>
      </c>
      <c r="O38" s="248">
        <f>'3.sz.m Önk  bev.'!P36</f>
        <v>0</v>
      </c>
      <c r="P38" s="248">
        <f>'3.sz.m Önk  bev.'!Q36</f>
        <v>0</v>
      </c>
      <c r="Q38" s="678" t="e">
        <f t="shared" si="4"/>
        <v>#DIV/0!</v>
      </c>
      <c r="R38" s="320">
        <v>0</v>
      </c>
      <c r="S38" s="320">
        <v>0</v>
      </c>
      <c r="T38" s="320">
        <v>0</v>
      </c>
      <c r="U38" s="320">
        <v>0</v>
      </c>
      <c r="V38" s="248"/>
      <c r="W38" s="248"/>
      <c r="X38" s="320">
        <v>0</v>
      </c>
      <c r="Y38" s="320">
        <v>0</v>
      </c>
      <c r="Z38" s="320">
        <v>0</v>
      </c>
      <c r="AA38" s="320">
        <v>0</v>
      </c>
      <c r="AB38" s="320">
        <v>0</v>
      </c>
      <c r="AC38" s="320">
        <v>0</v>
      </c>
      <c r="AD38" s="320">
        <v>0</v>
      </c>
      <c r="AE38" s="989"/>
    </row>
    <row r="39" spans="1:31" ht="21.75" customHeight="1">
      <c r="A39" s="64"/>
      <c r="B39" s="69" t="s">
        <v>65</v>
      </c>
      <c r="C39" s="1203" t="s">
        <v>338</v>
      </c>
      <c r="D39" s="1208"/>
      <c r="E39" s="320"/>
      <c r="F39" s="248"/>
      <c r="G39" s="248"/>
      <c r="H39" s="248"/>
      <c r="I39" s="248">
        <f>'3.sz.m Önk  bev.'!I37</f>
        <v>0</v>
      </c>
      <c r="J39" s="248">
        <f>'3.sz.m Önk  bev.'!J37</f>
        <v>0</v>
      </c>
      <c r="K39" s="320"/>
      <c r="L39" s="320"/>
      <c r="M39" s="320"/>
      <c r="N39" s="248"/>
      <c r="O39" s="248"/>
      <c r="P39" s="248"/>
      <c r="Q39" s="678"/>
      <c r="R39" s="320">
        <v>0</v>
      </c>
      <c r="S39" s="320">
        <v>0</v>
      </c>
      <c r="T39" s="320">
        <v>0</v>
      </c>
      <c r="U39" s="320">
        <v>0</v>
      </c>
      <c r="V39" s="248"/>
      <c r="W39" s="248"/>
      <c r="X39" s="320">
        <v>0</v>
      </c>
      <c r="Y39" s="320">
        <v>0</v>
      </c>
      <c r="Z39" s="320">
        <v>0</v>
      </c>
      <c r="AA39" s="320">
        <v>0</v>
      </c>
      <c r="AB39" s="320">
        <v>0</v>
      </c>
      <c r="AC39" s="320">
        <v>0</v>
      </c>
      <c r="AD39" s="320">
        <v>0</v>
      </c>
      <c r="AE39" s="989"/>
    </row>
    <row r="40" spans="1:31" ht="45.75" customHeight="1">
      <c r="A40" s="64"/>
      <c r="B40" s="69" t="s">
        <v>334</v>
      </c>
      <c r="C40" s="1203" t="s">
        <v>299</v>
      </c>
      <c r="D40" s="1208"/>
      <c r="E40" s="320">
        <f aca="true" t="shared" si="14" ref="E40:P40">SUM(E41:E43)</f>
        <v>31366997</v>
      </c>
      <c r="F40" s="248">
        <f t="shared" si="14"/>
        <v>31366997</v>
      </c>
      <c r="G40" s="248">
        <f t="shared" si="14"/>
        <v>0</v>
      </c>
      <c r="H40" s="248">
        <f>SUM(H41:H43)</f>
        <v>0</v>
      </c>
      <c r="I40" s="248">
        <f t="shared" si="14"/>
        <v>0</v>
      </c>
      <c r="J40" s="248">
        <f t="shared" si="14"/>
        <v>0</v>
      </c>
      <c r="K40" s="320">
        <f t="shared" si="14"/>
        <v>26554398</v>
      </c>
      <c r="L40" s="320">
        <f>SUM(L41:L43)</f>
        <v>26554398</v>
      </c>
      <c r="M40" s="320">
        <f>SUM(M41:M43)</f>
        <v>-86459321</v>
      </c>
      <c r="N40" s="248">
        <f t="shared" si="14"/>
        <v>0</v>
      </c>
      <c r="O40" s="248">
        <f t="shared" si="14"/>
        <v>0</v>
      </c>
      <c r="P40" s="248">
        <f t="shared" si="14"/>
        <v>0</v>
      </c>
      <c r="Q40" s="678" t="e">
        <f t="shared" si="4"/>
        <v>#DIV/0!</v>
      </c>
      <c r="R40" s="320">
        <f>SUM(R41:R43)</f>
        <v>4812599</v>
      </c>
      <c r="S40" s="320">
        <f>SUM(S41:S43)</f>
        <v>4812599</v>
      </c>
      <c r="T40" s="320">
        <f>SUM(T41:T43)</f>
        <v>86459321</v>
      </c>
      <c r="U40" s="320">
        <f>SUM(U41:U43)</f>
        <v>86566001</v>
      </c>
      <c r="V40" s="248"/>
      <c r="W40" s="248"/>
      <c r="X40" s="320">
        <v>0</v>
      </c>
      <c r="Y40" s="320">
        <v>0</v>
      </c>
      <c r="Z40" s="320">
        <v>0</v>
      </c>
      <c r="AA40" s="320">
        <v>0</v>
      </c>
      <c r="AB40" s="320">
        <v>0</v>
      </c>
      <c r="AC40" s="320">
        <v>0</v>
      </c>
      <c r="AD40" s="320">
        <v>0</v>
      </c>
      <c r="AE40" s="989"/>
    </row>
    <row r="41" spans="1:31" ht="21.75" customHeight="1">
      <c r="A41" s="64"/>
      <c r="B41" s="69"/>
      <c r="C41" s="66" t="s">
        <v>335</v>
      </c>
      <c r="D41" s="545" t="s">
        <v>31</v>
      </c>
      <c r="E41" s="320">
        <f>'3.sz.m Önk  bev.'!E39</f>
        <v>12222000</v>
      </c>
      <c r="F41" s="248">
        <f>'3.sz.m Önk  bev.'!F39</f>
        <v>12222000</v>
      </c>
      <c r="G41" s="248">
        <f>'3.sz.m Önk  bev.'!G39</f>
        <v>0</v>
      </c>
      <c r="H41" s="248">
        <f>'3.sz.m Önk  bev.'!H39</f>
        <v>0</v>
      </c>
      <c r="I41" s="248">
        <f>'3.sz.m Önk  bev.'!I39</f>
        <v>0</v>
      </c>
      <c r="J41" s="248">
        <f>'3.sz.m Önk  bev.'!J39</f>
        <v>0</v>
      </c>
      <c r="K41" s="320">
        <f>'3.sz.m Önk  bev.'!L39</f>
        <v>12222000</v>
      </c>
      <c r="L41" s="320">
        <f>'3.sz.m Önk  bev.'!M39</f>
        <v>12222000</v>
      </c>
      <c r="M41" s="320">
        <f>'3.sz.m Önk  bev.'!N39</f>
        <v>0</v>
      </c>
      <c r="N41" s="248">
        <f>'3.sz.m Önk  bev.'!O39</f>
        <v>0</v>
      </c>
      <c r="O41" s="248">
        <f>'3.sz.m Önk  bev.'!P39</f>
        <v>0</v>
      </c>
      <c r="P41" s="248">
        <f>'3.sz.m Önk  bev.'!Q39</f>
        <v>0</v>
      </c>
      <c r="Q41" s="678" t="e">
        <f t="shared" si="4"/>
        <v>#DIV/0!</v>
      </c>
      <c r="R41" s="320">
        <v>0</v>
      </c>
      <c r="S41" s="320">
        <v>0</v>
      </c>
      <c r="T41" s="320">
        <v>0</v>
      </c>
      <c r="U41" s="320">
        <v>0</v>
      </c>
      <c r="V41" s="248"/>
      <c r="W41" s="248"/>
      <c r="X41" s="320">
        <v>0</v>
      </c>
      <c r="Y41" s="320">
        <v>0</v>
      </c>
      <c r="Z41" s="320">
        <v>0</v>
      </c>
      <c r="AA41" s="320">
        <v>0</v>
      </c>
      <c r="AB41" s="320">
        <v>0</v>
      </c>
      <c r="AC41" s="320">
        <v>0</v>
      </c>
      <c r="AD41" s="320">
        <v>0</v>
      </c>
      <c r="AE41" s="989"/>
    </row>
    <row r="42" spans="1:31" ht="21.75" customHeight="1">
      <c r="A42" s="64"/>
      <c r="B42" s="69"/>
      <c r="C42" s="60" t="s">
        <v>336</v>
      </c>
      <c r="D42" s="281" t="s">
        <v>30</v>
      </c>
      <c r="E42" s="320">
        <f>'3.sz.m Önk  bev.'!E40+'5.2 sz. m ÁMK'!D21</f>
        <v>11010599</v>
      </c>
      <c r="F42" s="248">
        <f>'3.sz.m Önk  bev.'!F40+'5.2 sz. m ÁMK'!E21</f>
        <v>11010599</v>
      </c>
      <c r="G42" s="248">
        <f>'3.sz.m Önk  bev.'!G40+'5.2 sz. m ÁMK'!F21</f>
        <v>0</v>
      </c>
      <c r="H42" s="248">
        <f>'3.sz.m Önk  bev.'!H40+'5.2 sz. m ÁMK'!G21</f>
        <v>0</v>
      </c>
      <c r="I42" s="248">
        <f>'3.sz.m Önk  bev.'!I40+'5.2 sz. m ÁMK'!H21</f>
        <v>0</v>
      </c>
      <c r="J42" s="248">
        <f>'3.sz.m Önk  bev.'!J40+'5.2 sz. m ÁMK'!I21</f>
        <v>0</v>
      </c>
      <c r="K42" s="320">
        <f>'3.sz.m Önk  bev.'!L40+'5.2 sz. m ÁMK'!L21</f>
        <v>6198000</v>
      </c>
      <c r="L42" s="320">
        <f>'3.sz.m Önk  bev.'!M40+'5.2 sz. m ÁMK'!M21</f>
        <v>6198000</v>
      </c>
      <c r="M42" s="320">
        <f>'3.sz.m Önk  bev.'!N40+'5.2 sz. m ÁMK'!N21</f>
        <v>-86459321</v>
      </c>
      <c r="N42" s="248">
        <f>'3.sz.m Önk  bev.'!O40+'5.2 sz. m ÁMK'!O21</f>
        <v>0</v>
      </c>
      <c r="O42" s="248">
        <f>'3.sz.m Önk  bev.'!P40+'5.2 sz. m ÁMK'!P21</f>
        <v>0</v>
      </c>
      <c r="P42" s="248">
        <f>'3.sz.m Önk  bev.'!Q40+'5.2 sz. m ÁMK'!Q21</f>
        <v>0</v>
      </c>
      <c r="Q42" s="678"/>
      <c r="R42" s="319">
        <f>+'3.sz.m Önk  bev.'!S40</f>
        <v>4812599</v>
      </c>
      <c r="S42" s="319">
        <f>+'3.sz.m Önk  bev.'!T40</f>
        <v>4812599</v>
      </c>
      <c r="T42" s="319">
        <f>+'3.sz.m Önk  bev.'!U40</f>
        <v>86459321</v>
      </c>
      <c r="U42" s="319">
        <f>+'3.sz.m Önk  bev.'!V40</f>
        <v>86566001</v>
      </c>
      <c r="V42" s="248"/>
      <c r="W42" s="248"/>
      <c r="X42" s="320">
        <v>0</v>
      </c>
      <c r="Y42" s="320">
        <v>0</v>
      </c>
      <c r="Z42" s="320">
        <v>0</v>
      </c>
      <c r="AA42" s="320">
        <v>0</v>
      </c>
      <c r="AB42" s="320">
        <v>0</v>
      </c>
      <c r="AC42" s="320">
        <v>0</v>
      </c>
      <c r="AD42" s="320">
        <v>0</v>
      </c>
      <c r="AE42" s="989"/>
    </row>
    <row r="43" spans="1:31" ht="21.75" customHeight="1" thickBot="1">
      <c r="A43" s="64"/>
      <c r="B43" s="69"/>
      <c r="C43" s="60" t="s">
        <v>337</v>
      </c>
      <c r="D43" s="281" t="s">
        <v>32</v>
      </c>
      <c r="E43" s="320">
        <f>'3.sz.m Önk  bev.'!E41+'5.1 sz. m Köz Hiv'!D17</f>
        <v>8134398</v>
      </c>
      <c r="F43" s="320">
        <f>'3.sz.m Önk  bev.'!F41+'5.1 sz. m Köz Hiv'!E17</f>
        <v>8134398</v>
      </c>
      <c r="G43" s="320">
        <f>'3.sz.m Önk  bev.'!G41+'5.1 sz. m Köz Hiv'!F17</f>
        <v>0</v>
      </c>
      <c r="H43" s="320">
        <f>'3.sz.m Önk  bev.'!H41+'5.1 sz. m Köz Hiv'!G17</f>
        <v>0</v>
      </c>
      <c r="I43" s="320">
        <f>'3.sz.m Önk  bev.'!I41+'5.1 sz. m Köz Hiv'!H17+'5.2 sz. m ÁMK'!H20</f>
        <v>0</v>
      </c>
      <c r="J43" s="320">
        <f>'3.sz.m Önk  bev.'!J41+'5.1 sz. m Köz Hiv'!I17+'5.2 sz. m ÁMK'!I20</f>
        <v>0</v>
      </c>
      <c r="K43" s="320">
        <f>'3.sz.m Önk  bev.'!L41+'5.1 sz. m Köz Hiv'!L17</f>
        <v>8134398</v>
      </c>
      <c r="L43" s="320">
        <f>'3.sz.m Önk  bev.'!M41+'5.1 sz. m Köz Hiv'!M17</f>
        <v>8134398</v>
      </c>
      <c r="M43" s="320">
        <f>'3.sz.m Önk  bev.'!N41+'5.1 sz. m Köz Hiv'!N17</f>
        <v>0</v>
      </c>
      <c r="N43" s="320">
        <f>'3.sz.m Önk  bev.'!O41+'5.1 sz. m Köz Hiv'!O17+'5.2 sz. m ÁMK'!O20</f>
        <v>0</v>
      </c>
      <c r="O43" s="320">
        <f>'3.sz.m Önk  bev.'!P41+'5.1 sz. m Köz Hiv'!P17+'5.2 sz. m ÁMK'!P20</f>
        <v>0</v>
      </c>
      <c r="P43" s="320">
        <f>'3.sz.m Önk  bev.'!Q41+'5.1 sz. m Köz Hiv'!Q17+'5.2 sz. m ÁMK'!Q20</f>
        <v>0</v>
      </c>
      <c r="Q43" s="679" t="e">
        <f t="shared" si="4"/>
        <v>#DIV/0!</v>
      </c>
      <c r="R43" s="320">
        <v>0</v>
      </c>
      <c r="S43" s="320">
        <v>0</v>
      </c>
      <c r="T43" s="320">
        <v>0</v>
      </c>
      <c r="U43" s="320">
        <v>0</v>
      </c>
      <c r="V43" s="248"/>
      <c r="W43" s="248"/>
      <c r="X43" s="320">
        <v>0</v>
      </c>
      <c r="Y43" s="320">
        <v>0</v>
      </c>
      <c r="Z43" s="320">
        <v>0</v>
      </c>
      <c r="AA43" s="320">
        <v>0</v>
      </c>
      <c r="AB43" s="320">
        <v>0</v>
      </c>
      <c r="AC43" s="320">
        <v>0</v>
      </c>
      <c r="AD43" s="320">
        <v>0</v>
      </c>
      <c r="AE43" s="989"/>
    </row>
    <row r="44" spans="1:31" ht="33" customHeight="1" thickBot="1">
      <c r="A44" s="71" t="s">
        <v>10</v>
      </c>
      <c r="B44" s="1222" t="s">
        <v>300</v>
      </c>
      <c r="C44" s="1222"/>
      <c r="D44" s="1222"/>
      <c r="E44" s="312">
        <f>SUM(E45:E46)</f>
        <v>1074492</v>
      </c>
      <c r="F44" s="74">
        <f>SUM(F45:F46)+F50</f>
        <v>1074492</v>
      </c>
      <c r="G44" s="74">
        <f>SUM(G45:G46)+G50</f>
        <v>0</v>
      </c>
      <c r="H44" s="74">
        <f>SUM(H45:H46)+H50</f>
        <v>0</v>
      </c>
      <c r="I44" s="74">
        <f>SUM(I45:I46)+I50</f>
        <v>164800474</v>
      </c>
      <c r="J44" s="74">
        <f>SUM(J45:J46)+J50</f>
        <v>0</v>
      </c>
      <c r="K44" s="312">
        <f>SUM(K45:K46)</f>
        <v>1074492</v>
      </c>
      <c r="L44" s="312">
        <f>SUM(L45:L46)</f>
        <v>1074492</v>
      </c>
      <c r="M44" s="312">
        <f>SUM(M45:M46)</f>
        <v>-8488680</v>
      </c>
      <c r="N44" s="74">
        <f>SUM(N45:N46)+N50</f>
        <v>0</v>
      </c>
      <c r="O44" s="74">
        <f>SUM(O45:O46)+O50</f>
        <v>164800474</v>
      </c>
      <c r="P44" s="74">
        <f>SUM(P45:P46)+P50</f>
        <v>0</v>
      </c>
      <c r="Q44" s="676" t="e">
        <f t="shared" si="4"/>
        <v>#DIV/0!</v>
      </c>
      <c r="R44" s="312">
        <f>SUM(R45:R46)</f>
        <v>0</v>
      </c>
      <c r="S44" s="312">
        <f>SUM(S45:S46)</f>
        <v>0</v>
      </c>
      <c r="T44" s="312">
        <f>SUM(T45:T46)</f>
        <v>8488680</v>
      </c>
      <c r="U44" s="312">
        <f>SUM(U45:U46)</f>
        <v>8382000</v>
      </c>
      <c r="V44" s="74">
        <f>SUM(V45:V46)+V50</f>
        <v>0</v>
      </c>
      <c r="W44" s="74">
        <f>SUM(W45:W46)+W50</f>
        <v>0</v>
      </c>
      <c r="X44" s="312">
        <f aca="true" t="shared" si="15" ref="X44:AD44">SUM(X45:X46)</f>
        <v>0</v>
      </c>
      <c r="Y44" s="312">
        <f>SUM(Y45:Y46)</f>
        <v>0</v>
      </c>
      <c r="Z44" s="312">
        <f>SUM(Z45:Z46)</f>
        <v>0</v>
      </c>
      <c r="AA44" s="312">
        <f t="shared" si="15"/>
        <v>0</v>
      </c>
      <c r="AB44" s="312">
        <f t="shared" si="15"/>
        <v>0</v>
      </c>
      <c r="AC44" s="312">
        <f t="shared" si="15"/>
        <v>0</v>
      </c>
      <c r="AD44" s="312">
        <f t="shared" si="15"/>
        <v>0</v>
      </c>
      <c r="AE44" s="989"/>
    </row>
    <row r="45" spans="1:31" ht="21.75" customHeight="1">
      <c r="A45" s="65"/>
      <c r="B45" s="72" t="s">
        <v>301</v>
      </c>
      <c r="C45" s="1211" t="s">
        <v>303</v>
      </c>
      <c r="D45" s="1211"/>
      <c r="E45" s="320">
        <f>'3.sz.m Önk  bev.'!E43</f>
        <v>0</v>
      </c>
      <c r="F45" s="248">
        <f>'3.sz.m Önk  bev.'!F43</f>
        <v>0</v>
      </c>
      <c r="G45" s="248">
        <f>'3.sz.m Önk  bev.'!G43</f>
        <v>0</v>
      </c>
      <c r="H45" s="248">
        <f>'3.sz.m Önk  bev.'!H43</f>
        <v>0</v>
      </c>
      <c r="I45" s="248">
        <f>'3.sz.m Önk  bev.'!I43</f>
        <v>0</v>
      </c>
      <c r="J45" s="248">
        <f>'3.sz.m Önk  bev.'!J43</f>
        <v>0</v>
      </c>
      <c r="K45" s="320">
        <f>'3.sz.m Önk  bev.'!L43</f>
        <v>0</v>
      </c>
      <c r="L45" s="320">
        <f>'3.sz.m Önk  bev.'!M43</f>
        <v>0</v>
      </c>
      <c r="M45" s="320">
        <f>'3.sz.m Önk  bev.'!N43</f>
        <v>0</v>
      </c>
      <c r="N45" s="248">
        <f>'3.sz.m Önk  bev.'!O43</f>
        <v>0</v>
      </c>
      <c r="O45" s="248">
        <f>'3.sz.m Önk  bev.'!P43</f>
        <v>0</v>
      </c>
      <c r="P45" s="248">
        <f>'3.sz.m Önk  bev.'!Q43</f>
        <v>0</v>
      </c>
      <c r="Q45" s="680"/>
      <c r="R45" s="320">
        <v>0</v>
      </c>
      <c r="S45" s="320">
        <v>0</v>
      </c>
      <c r="T45" s="320">
        <v>0</v>
      </c>
      <c r="U45" s="320">
        <v>0</v>
      </c>
      <c r="V45" s="248"/>
      <c r="W45" s="248"/>
      <c r="X45" s="320">
        <v>0</v>
      </c>
      <c r="Y45" s="320">
        <v>0</v>
      </c>
      <c r="Z45" s="320">
        <v>0</v>
      </c>
      <c r="AA45" s="320">
        <v>0</v>
      </c>
      <c r="AB45" s="320">
        <v>0</v>
      </c>
      <c r="AC45" s="320">
        <v>0</v>
      </c>
      <c r="AD45" s="320">
        <v>0</v>
      </c>
      <c r="AE45" s="989"/>
    </row>
    <row r="46" spans="1:31" ht="21.75" customHeight="1">
      <c r="A46" s="64"/>
      <c r="B46" s="61" t="s">
        <v>302</v>
      </c>
      <c r="C46" s="1203" t="s">
        <v>304</v>
      </c>
      <c r="D46" s="1203"/>
      <c r="E46" s="320">
        <f aca="true" t="shared" si="16" ref="E46:P46">SUM(E47:E49)</f>
        <v>1074492</v>
      </c>
      <c r="F46" s="248">
        <f t="shared" si="16"/>
        <v>1074492</v>
      </c>
      <c r="G46" s="248">
        <f t="shared" si="16"/>
        <v>0</v>
      </c>
      <c r="H46" s="248">
        <f>SUM(H47:H49)</f>
        <v>0</v>
      </c>
      <c r="I46" s="248">
        <f t="shared" si="16"/>
        <v>164800474</v>
      </c>
      <c r="J46" s="248">
        <f t="shared" si="16"/>
        <v>0</v>
      </c>
      <c r="K46" s="320">
        <f t="shared" si="16"/>
        <v>1074492</v>
      </c>
      <c r="L46" s="320">
        <f>SUM(L47:L49)</f>
        <v>1074492</v>
      </c>
      <c r="M46" s="320">
        <f>SUM(M47:M49)</f>
        <v>-8488680</v>
      </c>
      <c r="N46" s="248">
        <f t="shared" si="16"/>
        <v>0</v>
      </c>
      <c r="O46" s="248">
        <f t="shared" si="16"/>
        <v>164800474</v>
      </c>
      <c r="P46" s="248">
        <f t="shared" si="16"/>
        <v>0</v>
      </c>
      <c r="Q46" s="660" t="e">
        <f t="shared" si="4"/>
        <v>#DIV/0!</v>
      </c>
      <c r="R46" s="320">
        <f>SUM(R47:R49)</f>
        <v>0</v>
      </c>
      <c r="S46" s="320">
        <f>SUM(S47:S49)</f>
        <v>0</v>
      </c>
      <c r="T46" s="320">
        <f>SUM(T47:T49)</f>
        <v>8488680</v>
      </c>
      <c r="U46" s="320">
        <f>SUM(U47:U49)</f>
        <v>8382000</v>
      </c>
      <c r="V46" s="248"/>
      <c r="W46" s="248"/>
      <c r="X46" s="320">
        <v>0</v>
      </c>
      <c r="Y46" s="320">
        <v>0</v>
      </c>
      <c r="Z46" s="320">
        <v>0</v>
      </c>
      <c r="AA46" s="320">
        <v>0</v>
      </c>
      <c r="AB46" s="320">
        <v>0</v>
      </c>
      <c r="AC46" s="320">
        <v>0</v>
      </c>
      <c r="AD46" s="320">
        <v>0</v>
      </c>
      <c r="AE46" s="989"/>
    </row>
    <row r="47" spans="1:31" ht="21.75" customHeight="1">
      <c r="A47" s="64"/>
      <c r="B47" s="72"/>
      <c r="C47" s="66" t="s">
        <v>305</v>
      </c>
      <c r="D47" s="545" t="s">
        <v>31</v>
      </c>
      <c r="E47" s="320">
        <f>'3.sz.m Önk  bev.'!E45</f>
        <v>0</v>
      </c>
      <c r="F47" s="248">
        <f>'3.sz.m Önk  bev.'!F45</f>
        <v>0</v>
      </c>
      <c r="G47" s="248">
        <f>'3.sz.m Önk  bev.'!G45</f>
        <v>0</v>
      </c>
      <c r="H47" s="248">
        <f>'3.sz.m Önk  bev.'!H45</f>
        <v>0</v>
      </c>
      <c r="I47" s="248">
        <f>'3.sz.m Önk  bev.'!I45</f>
        <v>0</v>
      </c>
      <c r="J47" s="248">
        <f>'3.sz.m Önk  bev.'!J45</f>
        <v>0</v>
      </c>
      <c r="K47" s="320">
        <f>'3.sz.m Önk  bev.'!L45</f>
        <v>0</v>
      </c>
      <c r="L47" s="320">
        <f>'3.sz.m Önk  bev.'!M45</f>
        <v>0</v>
      </c>
      <c r="M47" s="320">
        <f>'3.sz.m Önk  bev.'!N45</f>
        <v>0</v>
      </c>
      <c r="N47" s="248">
        <f>'3.sz.m Önk  bev.'!O45</f>
        <v>0</v>
      </c>
      <c r="O47" s="248">
        <f>'3.sz.m Önk  bev.'!P45</f>
        <v>0</v>
      </c>
      <c r="P47" s="248">
        <f>'3.sz.m Önk  bev.'!Q45</f>
        <v>0</v>
      </c>
      <c r="Q47" s="660"/>
      <c r="R47" s="320">
        <v>0</v>
      </c>
      <c r="S47" s="320">
        <v>0</v>
      </c>
      <c r="T47" s="320">
        <v>0</v>
      </c>
      <c r="U47" s="320">
        <v>0</v>
      </c>
      <c r="V47" s="248"/>
      <c r="W47" s="248"/>
      <c r="X47" s="320">
        <v>0</v>
      </c>
      <c r="Y47" s="320">
        <v>0</v>
      </c>
      <c r="Z47" s="320">
        <v>0</v>
      </c>
      <c r="AA47" s="320">
        <v>0</v>
      </c>
      <c r="AB47" s="320">
        <v>0</v>
      </c>
      <c r="AC47" s="320">
        <v>0</v>
      </c>
      <c r="AD47" s="320">
        <v>0</v>
      </c>
      <c r="AE47" s="989"/>
    </row>
    <row r="48" spans="1:31" ht="21.75" customHeight="1">
      <c r="A48" s="64"/>
      <c r="B48" s="61"/>
      <c r="C48" s="60" t="s">
        <v>306</v>
      </c>
      <c r="D48" s="545" t="s">
        <v>30</v>
      </c>
      <c r="E48" s="320">
        <f>'3.sz.m Önk  bev.'!E46</f>
        <v>1074492</v>
      </c>
      <c r="F48" s="248">
        <f>'3.sz.m Önk  bev.'!F46</f>
        <v>1074492</v>
      </c>
      <c r="G48" s="248">
        <f>'3.sz.m Önk  bev.'!G46</f>
        <v>0</v>
      </c>
      <c r="H48" s="248">
        <f>'3.sz.m Önk  bev.'!H46</f>
        <v>0</v>
      </c>
      <c r="I48" s="248">
        <f>'3.sz.m Önk  bev.'!I46</f>
        <v>164800474</v>
      </c>
      <c r="J48" s="248">
        <f>'3.sz.m Önk  bev.'!J46</f>
        <v>0</v>
      </c>
      <c r="K48" s="320">
        <f>'3.sz.m Önk  bev.'!L46</f>
        <v>1074492</v>
      </c>
      <c r="L48" s="320">
        <f>'3.sz.m Önk  bev.'!M46</f>
        <v>1074492</v>
      </c>
      <c r="M48" s="320">
        <f>'3.sz.m Önk  bev.'!N46</f>
        <v>-8488680</v>
      </c>
      <c r="N48" s="248">
        <f>'3.sz.m Önk  bev.'!O46</f>
        <v>0</v>
      </c>
      <c r="O48" s="248">
        <f>'3.sz.m Önk  bev.'!P46</f>
        <v>164800474</v>
      </c>
      <c r="P48" s="248">
        <f>'3.sz.m Önk  bev.'!Q46</f>
        <v>0</v>
      </c>
      <c r="Q48" s="660"/>
      <c r="R48" s="319">
        <f>+'3.sz.m Önk  bev.'!S46</f>
        <v>0</v>
      </c>
      <c r="S48" s="319">
        <f>+'3.sz.m Önk  bev.'!T46</f>
        <v>0</v>
      </c>
      <c r="T48" s="319">
        <f>+'3.sz.m Önk  bev.'!U46</f>
        <v>8488680</v>
      </c>
      <c r="U48" s="319">
        <f>+'3.sz.m Önk  bev.'!V46</f>
        <v>8382000</v>
      </c>
      <c r="V48" s="248"/>
      <c r="W48" s="248"/>
      <c r="X48" s="320">
        <v>0</v>
      </c>
      <c r="Y48" s="320">
        <v>0</v>
      </c>
      <c r="Z48" s="320">
        <v>0</v>
      </c>
      <c r="AA48" s="320">
        <v>0</v>
      </c>
      <c r="AB48" s="320">
        <v>0</v>
      </c>
      <c r="AC48" s="320">
        <v>0</v>
      </c>
      <c r="AD48" s="320">
        <v>0</v>
      </c>
      <c r="AE48" s="989"/>
    </row>
    <row r="49" spans="1:31" ht="21.75" customHeight="1">
      <c r="A49" s="68"/>
      <c r="B49" s="72"/>
      <c r="C49" s="66" t="s">
        <v>307</v>
      </c>
      <c r="D49" s="545" t="s">
        <v>308</v>
      </c>
      <c r="E49" s="320">
        <f>'3.sz.m Önk  bev.'!E47</f>
        <v>0</v>
      </c>
      <c r="F49" s="248">
        <f>'3.sz.m Önk  bev.'!F47</f>
        <v>0</v>
      </c>
      <c r="G49" s="248">
        <f>'3.sz.m Önk  bev.'!G47</f>
        <v>0</v>
      </c>
      <c r="H49" s="248">
        <f>'3.sz.m Önk  bev.'!H47</f>
        <v>0</v>
      </c>
      <c r="I49" s="248">
        <f>'3.sz.m Önk  bev.'!I47</f>
        <v>0</v>
      </c>
      <c r="J49" s="248">
        <f>'3.sz.m Önk  bev.'!J47</f>
        <v>0</v>
      </c>
      <c r="K49" s="320">
        <f>'3.sz.m Önk  bev.'!L47</f>
        <v>0</v>
      </c>
      <c r="L49" s="320">
        <f>'3.sz.m Önk  bev.'!M47</f>
        <v>0</v>
      </c>
      <c r="M49" s="320">
        <f>'3.sz.m Önk  bev.'!N47</f>
        <v>0</v>
      </c>
      <c r="N49" s="248">
        <f>'3.sz.m Önk  bev.'!O47</f>
        <v>0</v>
      </c>
      <c r="O49" s="248">
        <f>'3.sz.m Önk  bev.'!P47</f>
        <v>0</v>
      </c>
      <c r="P49" s="248">
        <f>'3.sz.m Önk  bev.'!Q47</f>
        <v>0</v>
      </c>
      <c r="Q49" s="660" t="e">
        <f t="shared" si="4"/>
        <v>#DIV/0!</v>
      </c>
      <c r="R49" s="320">
        <v>0</v>
      </c>
      <c r="S49" s="320">
        <v>0</v>
      </c>
      <c r="T49" s="320">
        <v>0</v>
      </c>
      <c r="U49" s="320">
        <v>0</v>
      </c>
      <c r="V49" s="248"/>
      <c r="W49" s="248"/>
      <c r="X49" s="320">
        <v>0</v>
      </c>
      <c r="Y49" s="320">
        <v>0</v>
      </c>
      <c r="Z49" s="320">
        <v>0</v>
      </c>
      <c r="AA49" s="320">
        <v>0</v>
      </c>
      <c r="AB49" s="320">
        <v>0</v>
      </c>
      <c r="AC49" s="320">
        <v>0</v>
      </c>
      <c r="AD49" s="320">
        <v>0</v>
      </c>
      <c r="AE49" s="989"/>
    </row>
    <row r="50" spans="1:31" ht="21.75" customHeight="1" thickBot="1">
      <c r="A50" s="324"/>
      <c r="B50" s="61" t="s">
        <v>331</v>
      </c>
      <c r="C50" s="1203" t="s">
        <v>454</v>
      </c>
      <c r="D50" s="1203"/>
      <c r="E50" s="320"/>
      <c r="F50" s="248">
        <f>'3.sz.m Önk  bev.'!F48</f>
        <v>0</v>
      </c>
      <c r="G50" s="248">
        <f>'3.sz.m Önk  bev.'!G48</f>
        <v>0</v>
      </c>
      <c r="H50" s="248">
        <f>'3.sz.m Önk  bev.'!H48</f>
        <v>0</v>
      </c>
      <c r="I50" s="248">
        <f>'3.sz.m Önk  bev.'!I48</f>
        <v>0</v>
      </c>
      <c r="J50" s="248">
        <f>'3.sz.m Önk  bev.'!J48</f>
        <v>0</v>
      </c>
      <c r="K50" s="320"/>
      <c r="L50" s="320"/>
      <c r="M50" s="320"/>
      <c r="N50" s="248">
        <f>'3.sz.m Önk  bev.'!O48</f>
        <v>0</v>
      </c>
      <c r="O50" s="248">
        <f>'3.sz.m Önk  bev.'!P48</f>
        <v>0</v>
      </c>
      <c r="P50" s="248">
        <f>'3.sz.m Önk  bev.'!Q48</f>
        <v>0</v>
      </c>
      <c r="Q50" s="660"/>
      <c r="R50" s="320">
        <v>0</v>
      </c>
      <c r="S50" s="320">
        <v>0</v>
      </c>
      <c r="T50" s="320">
        <v>0</v>
      </c>
      <c r="U50" s="320">
        <v>0</v>
      </c>
      <c r="V50" s="248">
        <f>'3.sz.m Önk  bev.'!W48</f>
        <v>0</v>
      </c>
      <c r="W50" s="248">
        <f>'3.sz.m Önk  bev.'!X48</f>
        <v>0</v>
      </c>
      <c r="X50" s="320">
        <v>0</v>
      </c>
      <c r="Y50" s="320">
        <v>0</v>
      </c>
      <c r="Z50" s="320">
        <v>0</v>
      </c>
      <c r="AA50" s="320">
        <v>0</v>
      </c>
      <c r="AB50" s="320">
        <v>0</v>
      </c>
      <c r="AC50" s="320">
        <v>0</v>
      </c>
      <c r="AD50" s="320">
        <v>0</v>
      </c>
      <c r="AE50" s="989"/>
    </row>
    <row r="51" spans="1:31" ht="21.75" customHeight="1" hidden="1" thickBot="1">
      <c r="A51" s="324"/>
      <c r="B51" s="72"/>
      <c r="C51" s="1220"/>
      <c r="D51" s="1221"/>
      <c r="E51" s="488"/>
      <c r="F51" s="489"/>
      <c r="G51" s="489"/>
      <c r="H51" s="489"/>
      <c r="I51" s="489"/>
      <c r="J51" s="489"/>
      <c r="K51" s="488"/>
      <c r="L51" s="488"/>
      <c r="M51" s="488"/>
      <c r="N51" s="489"/>
      <c r="O51" s="489"/>
      <c r="P51" s="489"/>
      <c r="Q51" s="661" t="e">
        <f t="shared" si="4"/>
        <v>#DIV/0!</v>
      </c>
      <c r="R51" s="488"/>
      <c r="S51" s="488"/>
      <c r="T51" s="488"/>
      <c r="U51" s="488"/>
      <c r="V51" s="489"/>
      <c r="W51" s="489"/>
      <c r="X51" s="488"/>
      <c r="Y51" s="488"/>
      <c r="Z51" s="488"/>
      <c r="AA51" s="488"/>
      <c r="AB51" s="488"/>
      <c r="AC51" s="488"/>
      <c r="AD51" s="488"/>
      <c r="AE51" s="989"/>
    </row>
    <row r="52" spans="1:31" ht="21.75" customHeight="1" thickBot="1">
      <c r="A52" s="71" t="s">
        <v>11</v>
      </c>
      <c r="B52" s="1197" t="s">
        <v>71</v>
      </c>
      <c r="C52" s="1197"/>
      <c r="D52" s="1197"/>
      <c r="E52" s="312">
        <f aca="true" t="shared" si="17" ref="E52:P52">E53+E54</f>
        <v>360000</v>
      </c>
      <c r="F52" s="74">
        <f t="shared" si="17"/>
        <v>360000</v>
      </c>
      <c r="G52" s="74">
        <f t="shared" si="17"/>
        <v>0</v>
      </c>
      <c r="H52" s="74">
        <f>H53+H54</f>
        <v>0</v>
      </c>
      <c r="I52" s="74">
        <f t="shared" si="17"/>
        <v>460000</v>
      </c>
      <c r="J52" s="74">
        <f t="shared" si="17"/>
        <v>0</v>
      </c>
      <c r="K52" s="312">
        <f t="shared" si="17"/>
        <v>360000</v>
      </c>
      <c r="L52" s="312">
        <f>L53+L54</f>
        <v>360000</v>
      </c>
      <c r="M52" s="312">
        <f>M53+M54</f>
        <v>0</v>
      </c>
      <c r="N52" s="74">
        <f t="shared" si="17"/>
        <v>0</v>
      </c>
      <c r="O52" s="74">
        <f t="shared" si="17"/>
        <v>460000</v>
      </c>
      <c r="P52" s="74">
        <f t="shared" si="17"/>
        <v>0</v>
      </c>
      <c r="Q52" s="676" t="e">
        <f t="shared" si="4"/>
        <v>#DIV/0!</v>
      </c>
      <c r="R52" s="312">
        <f aca="true" t="shared" si="18" ref="R52:W52">R53+R54</f>
        <v>0</v>
      </c>
      <c r="S52" s="312">
        <f>S53+S54</f>
        <v>0</v>
      </c>
      <c r="T52" s="312">
        <f>T53+T54</f>
        <v>0</v>
      </c>
      <c r="U52" s="312">
        <f>U53+U54</f>
        <v>0</v>
      </c>
      <c r="V52" s="74">
        <f t="shared" si="18"/>
        <v>0</v>
      </c>
      <c r="W52" s="74">
        <f t="shared" si="18"/>
        <v>0</v>
      </c>
      <c r="X52" s="312">
        <f aca="true" t="shared" si="19" ref="X52:AD52">X53+X54</f>
        <v>0</v>
      </c>
      <c r="Y52" s="312">
        <f>Y53+Y54</f>
        <v>0</v>
      </c>
      <c r="Z52" s="312">
        <f>Z53+Z54</f>
        <v>0</v>
      </c>
      <c r="AA52" s="312">
        <f t="shared" si="19"/>
        <v>0</v>
      </c>
      <c r="AB52" s="312">
        <f t="shared" si="19"/>
        <v>0</v>
      </c>
      <c r="AC52" s="312">
        <f t="shared" si="19"/>
        <v>0</v>
      </c>
      <c r="AD52" s="312">
        <f t="shared" si="19"/>
        <v>0</v>
      </c>
      <c r="AE52" s="989"/>
    </row>
    <row r="53" spans="1:31" s="7" customFormat="1" ht="21.75" customHeight="1">
      <c r="A53" s="73"/>
      <c r="B53" s="72" t="s">
        <v>42</v>
      </c>
      <c r="C53" s="1211" t="s">
        <v>320</v>
      </c>
      <c r="D53" s="1211"/>
      <c r="E53" s="320">
        <f>'3.sz.m Önk  bev.'!E51</f>
        <v>60000</v>
      </c>
      <c r="F53" s="248">
        <f>'3.sz.m Önk  bev.'!F51</f>
        <v>60000</v>
      </c>
      <c r="G53" s="248">
        <f>'3.sz.m Önk  bev.'!G51</f>
        <v>0</v>
      </c>
      <c r="H53" s="248">
        <f>'3.sz.m Önk  bev.'!H51</f>
        <v>0</v>
      </c>
      <c r="I53" s="248">
        <f>'3.sz.m Önk  bev.'!I51+'5.2 sz. m ÁMK'!H25</f>
        <v>260000</v>
      </c>
      <c r="J53" s="248">
        <f>'3.sz.m Önk  bev.'!J51+'5.2 sz. m ÁMK'!I25</f>
        <v>0</v>
      </c>
      <c r="K53" s="320">
        <f>'3.sz.m Önk  bev.'!L51</f>
        <v>60000</v>
      </c>
      <c r="L53" s="320">
        <f>'3.sz.m Önk  bev.'!M51</f>
        <v>60000</v>
      </c>
      <c r="M53" s="320">
        <f>'3.sz.m Önk  bev.'!N51</f>
        <v>0</v>
      </c>
      <c r="N53" s="320">
        <f>'3.sz.m Önk  bev.'!O51</f>
        <v>0</v>
      </c>
      <c r="O53" s="320">
        <f>'3.sz.m Önk  bev.'!P51</f>
        <v>260000</v>
      </c>
      <c r="P53" s="320">
        <f>'3.sz.m Önk  bev.'!Q51+'5.2 sz. m ÁMK'!I25</f>
        <v>0</v>
      </c>
      <c r="Q53" s="660" t="e">
        <f t="shared" si="4"/>
        <v>#DIV/0!</v>
      </c>
      <c r="R53" s="320">
        <v>0</v>
      </c>
      <c r="S53" s="320">
        <v>0</v>
      </c>
      <c r="T53" s="320">
        <v>0</v>
      </c>
      <c r="U53" s="320">
        <v>0</v>
      </c>
      <c r="V53" s="248"/>
      <c r="W53" s="248"/>
      <c r="X53" s="320">
        <v>0</v>
      </c>
      <c r="Y53" s="320">
        <v>0</v>
      </c>
      <c r="Z53" s="320">
        <v>0</v>
      </c>
      <c r="AA53" s="320">
        <v>0</v>
      </c>
      <c r="AB53" s="320">
        <v>0</v>
      </c>
      <c r="AC53" s="320">
        <v>0</v>
      </c>
      <c r="AD53" s="320">
        <v>0</v>
      </c>
      <c r="AE53" s="989"/>
    </row>
    <row r="54" spans="1:31" ht="21.75" customHeight="1" thickBot="1">
      <c r="A54" s="64"/>
      <c r="B54" s="60" t="s">
        <v>43</v>
      </c>
      <c r="C54" s="1203" t="s">
        <v>440</v>
      </c>
      <c r="D54" s="1203"/>
      <c r="E54" s="320">
        <f>'3.sz.m Önk  bev.'!E52</f>
        <v>300000</v>
      </c>
      <c r="F54" s="248">
        <f>'3.sz.m Önk  bev.'!F52</f>
        <v>300000</v>
      </c>
      <c r="G54" s="248">
        <f>'3.sz.m Önk  bev.'!G52</f>
        <v>0</v>
      </c>
      <c r="H54" s="248">
        <f>'3.sz.m Önk  bev.'!H52</f>
        <v>0</v>
      </c>
      <c r="I54" s="248">
        <f>'3.sz.m Önk  bev.'!I52</f>
        <v>200000</v>
      </c>
      <c r="J54" s="248">
        <f>'3.sz.m Önk  bev.'!J52</f>
        <v>0</v>
      </c>
      <c r="K54" s="320">
        <f>'3.sz.m Önk  bev.'!L52</f>
        <v>300000</v>
      </c>
      <c r="L54" s="320">
        <f>'3.sz.m Önk  bev.'!M52</f>
        <v>300000</v>
      </c>
      <c r="M54" s="320">
        <f>'3.sz.m Önk  bev.'!N52</f>
        <v>0</v>
      </c>
      <c r="N54" s="248">
        <f>'3.sz.m Önk  bev.'!O52</f>
        <v>0</v>
      </c>
      <c r="O54" s="248">
        <f>'3.sz.m Önk  bev.'!P52</f>
        <v>200000</v>
      </c>
      <c r="P54" s="248">
        <f>'3.sz.m Önk  bev.'!Q52</f>
        <v>0</v>
      </c>
      <c r="Q54" s="681"/>
      <c r="R54" s="320">
        <v>0</v>
      </c>
      <c r="S54" s="320">
        <v>0</v>
      </c>
      <c r="T54" s="320">
        <v>0</v>
      </c>
      <c r="U54" s="320">
        <v>0</v>
      </c>
      <c r="V54" s="248"/>
      <c r="W54" s="248"/>
      <c r="X54" s="320">
        <v>0</v>
      </c>
      <c r="Y54" s="320">
        <v>0</v>
      </c>
      <c r="Z54" s="320">
        <v>0</v>
      </c>
      <c r="AA54" s="320">
        <v>0</v>
      </c>
      <c r="AB54" s="320">
        <v>0</v>
      </c>
      <c r="AC54" s="320">
        <v>0</v>
      </c>
      <c r="AD54" s="320">
        <v>0</v>
      </c>
      <c r="AE54" s="989"/>
    </row>
    <row r="55" spans="1:31" ht="21.75" customHeight="1" thickBot="1">
      <c r="A55" s="71" t="s">
        <v>12</v>
      </c>
      <c r="B55" s="1197" t="s">
        <v>309</v>
      </c>
      <c r="C55" s="1197"/>
      <c r="D55" s="1197"/>
      <c r="E55" s="307">
        <f aca="true" t="shared" si="20" ref="E55:P55">SUM(E56:E57)</f>
        <v>600000</v>
      </c>
      <c r="F55" s="249">
        <f t="shared" si="20"/>
        <v>600000</v>
      </c>
      <c r="G55" s="249">
        <f t="shared" si="20"/>
        <v>0</v>
      </c>
      <c r="H55" s="249">
        <f>SUM(H56:H57)</f>
        <v>0</v>
      </c>
      <c r="I55" s="249">
        <f t="shared" si="20"/>
        <v>0</v>
      </c>
      <c r="J55" s="249">
        <f t="shared" si="20"/>
        <v>0</v>
      </c>
      <c r="K55" s="307">
        <f t="shared" si="20"/>
        <v>600000</v>
      </c>
      <c r="L55" s="307">
        <f>SUM(L56:L57)</f>
        <v>600000</v>
      </c>
      <c r="M55" s="307">
        <f>SUM(M56:M57)</f>
        <v>0</v>
      </c>
      <c r="N55" s="249">
        <f t="shared" si="20"/>
        <v>0</v>
      </c>
      <c r="O55" s="249">
        <f t="shared" si="20"/>
        <v>0</v>
      </c>
      <c r="P55" s="249">
        <f t="shared" si="20"/>
        <v>0</v>
      </c>
      <c r="Q55" s="676" t="e">
        <f t="shared" si="4"/>
        <v>#DIV/0!</v>
      </c>
      <c r="R55" s="307">
        <f aca="true" t="shared" si="21" ref="R55:W55">SUM(R56:R57)</f>
        <v>0</v>
      </c>
      <c r="S55" s="307">
        <f>SUM(S56:S57)</f>
        <v>0</v>
      </c>
      <c r="T55" s="307">
        <f>SUM(T56:T57)</f>
        <v>0</v>
      </c>
      <c r="U55" s="307">
        <f>SUM(U56:U57)</f>
        <v>0</v>
      </c>
      <c r="V55" s="249">
        <f t="shared" si="21"/>
        <v>0</v>
      </c>
      <c r="W55" s="249">
        <f t="shared" si="21"/>
        <v>0</v>
      </c>
      <c r="X55" s="307">
        <f aca="true" t="shared" si="22" ref="X55:AD55">SUM(X56:X57)</f>
        <v>0</v>
      </c>
      <c r="Y55" s="307">
        <f>SUM(Y56:Y57)</f>
        <v>0</v>
      </c>
      <c r="Z55" s="307">
        <f>SUM(Z56:Z57)</f>
        <v>0</v>
      </c>
      <c r="AA55" s="307">
        <f t="shared" si="22"/>
        <v>0</v>
      </c>
      <c r="AB55" s="307">
        <f t="shared" si="22"/>
        <v>0</v>
      </c>
      <c r="AC55" s="307">
        <f t="shared" si="22"/>
        <v>0</v>
      </c>
      <c r="AD55" s="307">
        <f t="shared" si="22"/>
        <v>0</v>
      </c>
      <c r="AE55" s="989"/>
    </row>
    <row r="56" spans="1:31" s="7" customFormat="1" ht="21.75" customHeight="1">
      <c r="A56" s="73"/>
      <c r="B56" s="66" t="s">
        <v>44</v>
      </c>
      <c r="C56" s="1211" t="s">
        <v>311</v>
      </c>
      <c r="D56" s="1211"/>
      <c r="E56" s="323">
        <f>'3.sz.m Önk  bev.'!E54</f>
        <v>600000</v>
      </c>
      <c r="F56" s="250">
        <f>'3.sz.m Önk  bev.'!F54</f>
        <v>600000</v>
      </c>
      <c r="G56" s="250">
        <f>'3.sz.m Önk  bev.'!G54</f>
        <v>0</v>
      </c>
      <c r="H56" s="250">
        <f>'3.sz.m Önk  bev.'!H54</f>
        <v>0</v>
      </c>
      <c r="I56" s="250">
        <f>'3.sz.m Önk  bev.'!I54</f>
        <v>0</v>
      </c>
      <c r="J56" s="250">
        <f>'3.sz.m Önk  bev.'!J54</f>
        <v>0</v>
      </c>
      <c r="K56" s="323">
        <f>'3.sz.m Önk  bev.'!L54</f>
        <v>600000</v>
      </c>
      <c r="L56" s="323">
        <f>'3.sz.m Önk  bev.'!M54</f>
        <v>600000</v>
      </c>
      <c r="M56" s="323">
        <f>'3.sz.m Önk  bev.'!N54</f>
        <v>0</v>
      </c>
      <c r="N56" s="250">
        <f>'3.sz.m Önk  bev.'!O54</f>
        <v>0</v>
      </c>
      <c r="O56" s="250">
        <f>'3.sz.m Önk  bev.'!P54</f>
        <v>0</v>
      </c>
      <c r="P56" s="250">
        <f>'3.sz.m Önk  bev.'!Q54</f>
        <v>0</v>
      </c>
      <c r="Q56" s="660" t="e">
        <f t="shared" si="4"/>
        <v>#DIV/0!</v>
      </c>
      <c r="R56" s="323">
        <v>0</v>
      </c>
      <c r="S56" s="323">
        <v>0</v>
      </c>
      <c r="T56" s="323">
        <v>0</v>
      </c>
      <c r="U56" s="323">
        <v>0</v>
      </c>
      <c r="V56" s="250"/>
      <c r="W56" s="250"/>
      <c r="X56" s="323">
        <v>0</v>
      </c>
      <c r="Y56" s="323">
        <v>0</v>
      </c>
      <c r="Z56" s="323">
        <v>0</v>
      </c>
      <c r="AA56" s="323">
        <v>0</v>
      </c>
      <c r="AB56" s="323">
        <v>0</v>
      </c>
      <c r="AC56" s="323">
        <v>0</v>
      </c>
      <c r="AD56" s="323">
        <v>0</v>
      </c>
      <c r="AE56" s="989"/>
    </row>
    <row r="57" spans="1:31" ht="21.75" customHeight="1" thickBot="1">
      <c r="A57" s="68"/>
      <c r="B57" s="69" t="s">
        <v>310</v>
      </c>
      <c r="C57" s="1202" t="s">
        <v>312</v>
      </c>
      <c r="D57" s="1202"/>
      <c r="E57" s="321">
        <v>0</v>
      </c>
      <c r="F57" s="322">
        <v>0</v>
      </c>
      <c r="G57" s="322">
        <v>0</v>
      </c>
      <c r="H57" s="322">
        <v>0</v>
      </c>
      <c r="I57" s="322">
        <v>0</v>
      </c>
      <c r="J57" s="322">
        <v>0</v>
      </c>
      <c r="K57" s="321">
        <v>0</v>
      </c>
      <c r="L57" s="321">
        <v>0</v>
      </c>
      <c r="M57" s="321">
        <v>0</v>
      </c>
      <c r="N57" s="322"/>
      <c r="O57" s="322"/>
      <c r="P57" s="322"/>
      <c r="Q57" s="684"/>
      <c r="R57" s="321">
        <v>0</v>
      </c>
      <c r="S57" s="321">
        <v>0</v>
      </c>
      <c r="T57" s="321">
        <v>0</v>
      </c>
      <c r="U57" s="321">
        <v>0</v>
      </c>
      <c r="V57" s="322"/>
      <c r="W57" s="322"/>
      <c r="X57" s="321">
        <v>0</v>
      </c>
      <c r="Y57" s="321">
        <v>0</v>
      </c>
      <c r="Z57" s="321">
        <v>0</v>
      </c>
      <c r="AA57" s="321">
        <v>0</v>
      </c>
      <c r="AB57" s="321">
        <v>0</v>
      </c>
      <c r="AC57" s="321">
        <v>0</v>
      </c>
      <c r="AD57" s="321">
        <v>0</v>
      </c>
      <c r="AE57" s="989"/>
    </row>
    <row r="58" spans="1:31" ht="21.75" customHeight="1" thickBot="1">
      <c r="A58" s="71" t="s">
        <v>13</v>
      </c>
      <c r="B58" s="1212" t="s">
        <v>73</v>
      </c>
      <c r="C58" s="1212"/>
      <c r="D58" s="1212"/>
      <c r="E58" s="307">
        <f aca="true" t="shared" si="23" ref="E58:P58">E8+E22+E44+E52+E55+E35</f>
        <v>622258860</v>
      </c>
      <c r="F58" s="249">
        <f t="shared" si="23"/>
        <v>608806633</v>
      </c>
      <c r="G58" s="249">
        <f>G8+G22+G44+G52+G55+G35</f>
        <v>0</v>
      </c>
      <c r="H58" s="249">
        <f>H8+H22+H44+H52+H55+H35</f>
        <v>0</v>
      </c>
      <c r="I58" s="249">
        <f t="shared" si="23"/>
        <v>165260474</v>
      </c>
      <c r="J58" s="249">
        <f t="shared" si="23"/>
        <v>0</v>
      </c>
      <c r="K58" s="307">
        <f t="shared" si="23"/>
        <v>602578892</v>
      </c>
      <c r="L58" s="307">
        <f>L8+L22+L44+L52+L55+L35</f>
        <v>581166886</v>
      </c>
      <c r="M58" s="249">
        <f>M8+M22+M44+M52+M55+M35</f>
        <v>-98147951</v>
      </c>
      <c r="N58" s="249">
        <f t="shared" si="23"/>
        <v>-28681758</v>
      </c>
      <c r="O58" s="249">
        <f t="shared" si="23"/>
        <v>157177600</v>
      </c>
      <c r="P58" s="249">
        <f t="shared" si="23"/>
        <v>-20150631</v>
      </c>
      <c r="Q58" s="682">
        <f t="shared" si="4"/>
        <v>0.7025591318356427</v>
      </c>
      <c r="R58" s="307">
        <f aca="true" t="shared" si="24" ref="R58:W58">R8+R22+R44+R52+R55+R35</f>
        <v>19679968</v>
      </c>
      <c r="S58" s="307">
        <f>S8+S22+S44+S52+S55+S35</f>
        <v>27639747</v>
      </c>
      <c r="T58" s="307">
        <f>T8+T22+T44+T52+T55+T35</f>
        <v>115613628</v>
      </c>
      <c r="U58" s="307">
        <f>U8+U22+U44+U52+U55+U35</f>
        <v>123629759</v>
      </c>
      <c r="V58" s="249">
        <f t="shared" si="24"/>
        <v>8082874</v>
      </c>
      <c r="W58" s="249">
        <f t="shared" si="24"/>
        <v>20150631</v>
      </c>
      <c r="X58" s="307">
        <f aca="true" t="shared" si="25" ref="X58:AD58">X8+X22+X44+X52+X55+X35</f>
        <v>7923383</v>
      </c>
      <c r="Y58" s="307">
        <f>Y8+Y22+Y44+Y52+Y55+Y35</f>
        <v>7923383</v>
      </c>
      <c r="Z58" s="307">
        <f>Z8+Z22+Z44+Z52+Z55+Z35</f>
        <v>5776781</v>
      </c>
      <c r="AA58" s="307">
        <f t="shared" si="25"/>
        <v>5776781</v>
      </c>
      <c r="AB58" s="307">
        <f t="shared" si="25"/>
        <v>5610894</v>
      </c>
      <c r="AC58" s="307">
        <f t="shared" si="25"/>
        <v>5610894</v>
      </c>
      <c r="AD58" s="307">
        <f t="shared" si="25"/>
        <v>5610894</v>
      </c>
      <c r="AE58" s="989"/>
    </row>
    <row r="59" spans="1:31" ht="24" customHeight="1" thickBot="1">
      <c r="A59" s="67" t="s">
        <v>54</v>
      </c>
      <c r="B59" s="1197" t="s">
        <v>313</v>
      </c>
      <c r="C59" s="1197"/>
      <c r="D59" s="1197"/>
      <c r="E59" s="307">
        <f aca="true" t="shared" si="26" ref="E59:P59">SUM(E60:E62)</f>
        <v>304279553</v>
      </c>
      <c r="F59" s="249">
        <f t="shared" si="26"/>
        <v>304279553</v>
      </c>
      <c r="G59" s="249">
        <f t="shared" si="26"/>
        <v>0</v>
      </c>
      <c r="H59" s="249">
        <f>SUM(H60:H62)</f>
        <v>0</v>
      </c>
      <c r="I59" s="249">
        <f t="shared" si="26"/>
        <v>0</v>
      </c>
      <c r="J59" s="249">
        <f t="shared" si="26"/>
        <v>0</v>
      </c>
      <c r="K59" s="307">
        <f t="shared" si="26"/>
        <v>288643759</v>
      </c>
      <c r="L59" s="307">
        <f>SUM(L60:L62)</f>
        <v>288643759</v>
      </c>
      <c r="M59" s="307">
        <f>SUM(M60:M62)</f>
        <v>0</v>
      </c>
      <c r="N59" s="249">
        <f t="shared" si="26"/>
        <v>0</v>
      </c>
      <c r="O59" s="249">
        <f t="shared" si="26"/>
        <v>0</v>
      </c>
      <c r="P59" s="249">
        <f t="shared" si="26"/>
        <v>0</v>
      </c>
      <c r="Q59" s="682" t="e">
        <f t="shared" si="4"/>
        <v>#DIV/0!</v>
      </c>
      <c r="R59" s="307">
        <f aca="true" t="shared" si="27" ref="R59:W59">SUM(R60:R62)</f>
        <v>15635794</v>
      </c>
      <c r="S59" s="307">
        <f>SUM(S60:S62)</f>
        <v>15635794</v>
      </c>
      <c r="T59" s="307">
        <f>SUM(T60:T62)</f>
        <v>0</v>
      </c>
      <c r="U59" s="307">
        <f>SUM(U60:U62)</f>
        <v>0</v>
      </c>
      <c r="V59" s="249">
        <f t="shared" si="27"/>
        <v>0</v>
      </c>
      <c r="W59" s="249">
        <f t="shared" si="27"/>
        <v>0</v>
      </c>
      <c r="X59" s="307">
        <f aca="true" t="shared" si="28" ref="X59:AD59">SUM(X60:X62)</f>
        <v>0</v>
      </c>
      <c r="Y59" s="307">
        <f>SUM(Y60:Y62)</f>
        <v>0</v>
      </c>
      <c r="Z59" s="307">
        <f>SUM(Z60:Z62)</f>
        <v>0</v>
      </c>
      <c r="AA59" s="307">
        <f t="shared" si="28"/>
        <v>0</v>
      </c>
      <c r="AB59" s="307">
        <f t="shared" si="28"/>
        <v>0</v>
      </c>
      <c r="AC59" s="307">
        <f t="shared" si="28"/>
        <v>0</v>
      </c>
      <c r="AD59" s="307">
        <f t="shared" si="28"/>
        <v>0</v>
      </c>
      <c r="AE59" s="989"/>
    </row>
    <row r="60" spans="1:31" ht="21.75" customHeight="1">
      <c r="A60" s="65"/>
      <c r="B60" s="66" t="s">
        <v>45</v>
      </c>
      <c r="C60" s="1211" t="s">
        <v>504</v>
      </c>
      <c r="D60" s="1211"/>
      <c r="E60" s="320">
        <f>'3.sz.m Önk  bev.'!E58</f>
        <v>0</v>
      </c>
      <c r="F60" s="248">
        <f>'3.sz.m Önk  bev.'!F58</f>
        <v>0</v>
      </c>
      <c r="G60" s="248">
        <f>'3.sz.m Önk  bev.'!G58</f>
        <v>0</v>
      </c>
      <c r="H60" s="248">
        <f>'3.sz.m Önk  bev.'!H58</f>
        <v>0</v>
      </c>
      <c r="I60" s="248">
        <f>'3.sz.m Önk  bev.'!I58</f>
        <v>0</v>
      </c>
      <c r="J60" s="248">
        <f>'3.sz.m Önk  bev.'!J58</f>
        <v>0</v>
      </c>
      <c r="K60" s="320">
        <f>'3.sz.m Önk  bev.'!L58</f>
        <v>0</v>
      </c>
      <c r="L60" s="320">
        <f>'3.sz.m Önk  bev.'!M58</f>
        <v>0</v>
      </c>
      <c r="M60" s="320">
        <f>'3.sz.m Önk  bev.'!N58</f>
        <v>0</v>
      </c>
      <c r="N60" s="248">
        <f>H60</f>
        <v>0</v>
      </c>
      <c r="O60" s="248">
        <f>I60</f>
        <v>0</v>
      </c>
      <c r="P60" s="248">
        <f>J60</f>
        <v>0</v>
      </c>
      <c r="Q60" s="683" t="e">
        <f t="shared" si="4"/>
        <v>#DIV/0!</v>
      </c>
      <c r="R60" s="320">
        <v>0</v>
      </c>
      <c r="S60" s="320">
        <v>0</v>
      </c>
      <c r="T60" s="320">
        <v>0</v>
      </c>
      <c r="U60" s="320">
        <v>0</v>
      </c>
      <c r="V60" s="248"/>
      <c r="W60" s="248"/>
      <c r="X60" s="320">
        <v>0</v>
      </c>
      <c r="Y60" s="320">
        <v>0</v>
      </c>
      <c r="Z60" s="320">
        <v>0</v>
      </c>
      <c r="AA60" s="320">
        <v>0</v>
      </c>
      <c r="AB60" s="320">
        <v>0</v>
      </c>
      <c r="AC60" s="320">
        <v>0</v>
      </c>
      <c r="AD60" s="320">
        <v>0</v>
      </c>
      <c r="AE60" s="989"/>
    </row>
    <row r="61" spans="1:31" ht="21.75" customHeight="1">
      <c r="A61" s="64"/>
      <c r="B61" s="61" t="s">
        <v>46</v>
      </c>
      <c r="C61" s="1211" t="s">
        <v>482</v>
      </c>
      <c r="D61" s="1211"/>
      <c r="E61" s="320">
        <f>'3.sz.m Önk  bev.'!E59</f>
        <v>0</v>
      </c>
      <c r="F61" s="248">
        <f>'3.sz.m Önk  bev.'!F59</f>
        <v>0</v>
      </c>
      <c r="G61" s="248">
        <f>'3.sz.m Önk  bev.'!G59</f>
        <v>0</v>
      </c>
      <c r="H61" s="248">
        <f>'3.sz.m Önk  bev.'!H59</f>
        <v>0</v>
      </c>
      <c r="I61" s="248">
        <f>'3.sz.m Önk  bev.'!I59</f>
        <v>0</v>
      </c>
      <c r="J61" s="248">
        <f>'3.sz.m Önk  bev.'!J59</f>
        <v>0</v>
      </c>
      <c r="K61" s="320">
        <f>'3.sz.m Önk  bev.'!L59</f>
        <v>0</v>
      </c>
      <c r="L61" s="320">
        <f>'3.sz.m Önk  bev.'!M59</f>
        <v>0</v>
      </c>
      <c r="M61" s="320">
        <f>'3.sz.m Önk  bev.'!N59</f>
        <v>0</v>
      </c>
      <c r="N61" s="248">
        <f>'3.sz.m Önk  bev.'!O59</f>
        <v>0</v>
      </c>
      <c r="O61" s="248">
        <f>'3.sz.m Önk  bev.'!P59</f>
        <v>0</v>
      </c>
      <c r="P61" s="248">
        <f>'3.sz.m Önk  bev.'!Q59</f>
        <v>0</v>
      </c>
      <c r="Q61" s="685"/>
      <c r="R61" s="320">
        <v>0</v>
      </c>
      <c r="S61" s="320">
        <v>0</v>
      </c>
      <c r="T61" s="320">
        <v>0</v>
      </c>
      <c r="U61" s="320">
        <v>0</v>
      </c>
      <c r="V61" s="248"/>
      <c r="W61" s="248"/>
      <c r="X61" s="320">
        <v>0</v>
      </c>
      <c r="Y61" s="320">
        <v>0</v>
      </c>
      <c r="Z61" s="320">
        <v>0</v>
      </c>
      <c r="AA61" s="320">
        <v>0</v>
      </c>
      <c r="AB61" s="320">
        <v>0</v>
      </c>
      <c r="AC61" s="320">
        <v>0</v>
      </c>
      <c r="AD61" s="320">
        <v>0</v>
      </c>
      <c r="AE61" s="989"/>
    </row>
    <row r="62" spans="1:31" ht="21.75" customHeight="1" thickBot="1">
      <c r="A62" s="64"/>
      <c r="B62" s="61" t="s">
        <v>72</v>
      </c>
      <c r="C62" s="1211" t="s">
        <v>314</v>
      </c>
      <c r="D62" s="1211"/>
      <c r="E62" s="320">
        <f>'3.sz.m Önk  bev.'!E60+'5.1 sz. m Köz Hiv'!D27+'5.2 sz. m ÁMK'!D30</f>
        <v>304279553</v>
      </c>
      <c r="F62" s="248">
        <f>'3.sz.m Önk  bev.'!F60+'5.1 sz. m Köz Hiv'!E27+'5.2 sz. m ÁMK'!E30</f>
        <v>304279553</v>
      </c>
      <c r="G62" s="248">
        <f>'3.sz.m Önk  bev.'!G60+'5.1 sz. m Köz Hiv'!F27+'5.2 sz. m ÁMK'!F30</f>
        <v>0</v>
      </c>
      <c r="H62" s="248">
        <f>'3.sz.m Önk  bev.'!H60+'5.1 sz. m Köz Hiv'!G27+'5.2 sz. m ÁMK'!G30</f>
        <v>0</v>
      </c>
      <c r="I62" s="248">
        <f>'3.sz.m Önk  bev.'!I60+'5.1 sz. m Köz Hiv'!H27+'5.2 sz. m ÁMK'!H30</f>
        <v>0</v>
      </c>
      <c r="J62" s="248">
        <f>'3.sz.m Önk  bev.'!J60+'5.1 sz. m Köz Hiv'!I27+'5.2 sz. m ÁMK'!I30</f>
        <v>0</v>
      </c>
      <c r="K62" s="320">
        <f>'3.sz.m Önk  bev.'!L60+'5.1 sz. m Köz Hiv'!L27+'5.2 sz. m ÁMK'!L30</f>
        <v>288643759</v>
      </c>
      <c r="L62" s="320">
        <f>'3.sz.m Önk  bev.'!M60+'5.1 sz. m Köz Hiv'!M27+'5.2 sz. m ÁMK'!M30</f>
        <v>288643759</v>
      </c>
      <c r="M62" s="320">
        <f>'3.sz.m Önk  bev.'!N60+'5.1 sz. m Köz Hiv'!N27+'5.2 sz. m ÁMK'!N30</f>
        <v>0</v>
      </c>
      <c r="N62" s="248">
        <f>'3.sz.m Önk  bev.'!O60+'5.1 sz. m Köz Hiv'!O27+'5.2 sz. m ÁMK'!O30</f>
        <v>0</v>
      </c>
      <c r="O62" s="248">
        <f>'3.sz.m Önk  bev.'!P60+'5.1 sz. m Köz Hiv'!P27+'5.2 sz. m ÁMK'!P30</f>
        <v>0</v>
      </c>
      <c r="P62" s="248">
        <f>'3.sz.m Önk  bev.'!Q60+'5.1 sz. m Köz Hiv'!Q27+'5.2 sz. m ÁMK'!Q30</f>
        <v>0</v>
      </c>
      <c r="Q62" s="685" t="e">
        <f>P62/N62</f>
        <v>#DIV/0!</v>
      </c>
      <c r="R62" s="320">
        <f>+'3.sz.m Önk  bev.'!S60</f>
        <v>15635794</v>
      </c>
      <c r="S62" s="320">
        <f>+'3.sz.m Önk  bev.'!T60</f>
        <v>15635794</v>
      </c>
      <c r="T62" s="320">
        <v>0</v>
      </c>
      <c r="U62" s="320">
        <v>0</v>
      </c>
      <c r="V62" s="248"/>
      <c r="W62" s="248"/>
      <c r="X62" s="320">
        <v>0</v>
      </c>
      <c r="Y62" s="320">
        <v>0</v>
      </c>
      <c r="Z62" s="320">
        <v>0</v>
      </c>
      <c r="AA62" s="320">
        <v>0</v>
      </c>
      <c r="AB62" s="320">
        <v>0</v>
      </c>
      <c r="AC62" s="320">
        <v>0</v>
      </c>
      <c r="AD62" s="320">
        <v>0</v>
      </c>
      <c r="AE62" s="989"/>
    </row>
    <row r="63" spans="1:31" ht="35.25" customHeight="1" thickBot="1">
      <c r="A63" s="71" t="s">
        <v>55</v>
      </c>
      <c r="B63" s="1210" t="s">
        <v>74</v>
      </c>
      <c r="C63" s="1210"/>
      <c r="D63" s="1210"/>
      <c r="E63" s="309">
        <f aca="true" t="shared" si="29" ref="E63:P63">E58+E59</f>
        <v>926538413</v>
      </c>
      <c r="F63" s="40">
        <f t="shared" si="29"/>
        <v>913086186</v>
      </c>
      <c r="G63" s="40">
        <f>G58+G59</f>
        <v>0</v>
      </c>
      <c r="H63" s="40">
        <f>H58+H59</f>
        <v>0</v>
      </c>
      <c r="I63" s="40">
        <f t="shared" si="29"/>
        <v>165260474</v>
      </c>
      <c r="J63" s="40">
        <f t="shared" si="29"/>
        <v>0</v>
      </c>
      <c r="K63" s="309">
        <f t="shared" si="29"/>
        <v>891222651</v>
      </c>
      <c r="L63" s="309">
        <f>L58+L59</f>
        <v>869810645</v>
      </c>
      <c r="M63" s="309">
        <f>M58+M59</f>
        <v>-98147951</v>
      </c>
      <c r="N63" s="40">
        <f t="shared" si="29"/>
        <v>-28681758</v>
      </c>
      <c r="O63" s="40">
        <f t="shared" si="29"/>
        <v>157177600</v>
      </c>
      <c r="P63" s="40">
        <f t="shared" si="29"/>
        <v>-20150631</v>
      </c>
      <c r="Q63" s="686">
        <f t="shared" si="4"/>
        <v>0.7025591318356427</v>
      </c>
      <c r="R63" s="309">
        <f aca="true" t="shared" si="30" ref="R63:W63">R58+R59</f>
        <v>35315762</v>
      </c>
      <c r="S63" s="309">
        <f>S58+S59</f>
        <v>43275541</v>
      </c>
      <c r="T63" s="309">
        <f>T58+T59</f>
        <v>115613628</v>
      </c>
      <c r="U63" s="309">
        <f>U58+U59</f>
        <v>123629759</v>
      </c>
      <c r="V63" s="40">
        <f t="shared" si="30"/>
        <v>8082874</v>
      </c>
      <c r="W63" s="40">
        <f t="shared" si="30"/>
        <v>20150631</v>
      </c>
      <c r="X63" s="309">
        <f aca="true" t="shared" si="31" ref="X63:AD63">X58+X59</f>
        <v>7923383</v>
      </c>
      <c r="Y63" s="309">
        <f>Y58+Y59</f>
        <v>7923383</v>
      </c>
      <c r="Z63" s="309">
        <f>Z58+Z59</f>
        <v>5776781</v>
      </c>
      <c r="AA63" s="309">
        <f t="shared" si="31"/>
        <v>5776781</v>
      </c>
      <c r="AB63" s="309">
        <f t="shared" si="31"/>
        <v>5610894</v>
      </c>
      <c r="AC63" s="309">
        <f t="shared" si="31"/>
        <v>5610894</v>
      </c>
      <c r="AD63" s="309">
        <f t="shared" si="31"/>
        <v>5610894</v>
      </c>
      <c r="AE63" s="989"/>
    </row>
    <row r="64" spans="1:31" ht="21.75" customHeight="1" hidden="1" thickBot="1">
      <c r="A64" s="1218" t="s">
        <v>231</v>
      </c>
      <c r="B64" s="1219"/>
      <c r="C64" s="1219"/>
      <c r="D64" s="1219"/>
      <c r="E64" s="490"/>
      <c r="F64" s="491"/>
      <c r="G64" s="491"/>
      <c r="H64" s="491"/>
      <c r="I64" s="491"/>
      <c r="J64" s="491"/>
      <c r="K64" s="490"/>
      <c r="L64" s="490"/>
      <c r="M64" s="490"/>
      <c r="N64" s="491"/>
      <c r="O64" s="491"/>
      <c r="P64" s="491"/>
      <c r="Q64" s="496"/>
      <c r="R64" s="490"/>
      <c r="S64" s="490"/>
      <c r="T64" s="490"/>
      <c r="U64" s="490"/>
      <c r="V64" s="491"/>
      <c r="W64" s="491"/>
      <c r="X64" s="490"/>
      <c r="Y64" s="490"/>
      <c r="Z64" s="490"/>
      <c r="AA64" s="490"/>
      <c r="AB64" s="490"/>
      <c r="AC64" s="490"/>
      <c r="AD64" s="490"/>
      <c r="AE64" s="989"/>
    </row>
    <row r="65" spans="1:31" ht="21.75" customHeight="1" thickBot="1">
      <c r="A65" s="1209" t="s">
        <v>6</v>
      </c>
      <c r="B65" s="1210"/>
      <c r="C65" s="1210"/>
      <c r="D65" s="1210"/>
      <c r="E65" s="344">
        <f aca="true" t="shared" si="32" ref="E65:P65">E63+E64</f>
        <v>926538413</v>
      </c>
      <c r="F65" s="345">
        <f t="shared" si="32"/>
        <v>913086186</v>
      </c>
      <c r="G65" s="345">
        <f t="shared" si="32"/>
        <v>0</v>
      </c>
      <c r="H65" s="345">
        <f>H63+H64</f>
        <v>0</v>
      </c>
      <c r="I65" s="345">
        <f t="shared" si="32"/>
        <v>165260474</v>
      </c>
      <c r="J65" s="345">
        <f t="shared" si="32"/>
        <v>0</v>
      </c>
      <c r="K65" s="344">
        <f t="shared" si="32"/>
        <v>891222651</v>
      </c>
      <c r="L65" s="344">
        <f>L63+L64</f>
        <v>869810645</v>
      </c>
      <c r="M65" s="344">
        <f>M63+M64</f>
        <v>-98147951</v>
      </c>
      <c r="N65" s="964">
        <f t="shared" si="32"/>
        <v>-28681758</v>
      </c>
      <c r="O65" s="345">
        <f t="shared" si="32"/>
        <v>157177600</v>
      </c>
      <c r="P65" s="345">
        <f t="shared" si="32"/>
        <v>-20150631</v>
      </c>
      <c r="Q65" s="347">
        <f t="shared" si="4"/>
        <v>0.7025591318356427</v>
      </c>
      <c r="R65" s="344">
        <f aca="true" t="shared" si="33" ref="R65:W65">R63+R64</f>
        <v>35315762</v>
      </c>
      <c r="S65" s="344">
        <f>S63+S64</f>
        <v>43275541</v>
      </c>
      <c r="T65" s="344">
        <f>T63+T64</f>
        <v>115613628</v>
      </c>
      <c r="U65" s="344">
        <f>U63+U64</f>
        <v>123629759</v>
      </c>
      <c r="V65" s="345">
        <f t="shared" si="33"/>
        <v>8082874</v>
      </c>
      <c r="W65" s="345">
        <f t="shared" si="33"/>
        <v>20150631</v>
      </c>
      <c r="X65" s="344">
        <f aca="true" t="shared" si="34" ref="X65:AD65">X63+X64</f>
        <v>7923383</v>
      </c>
      <c r="Y65" s="344">
        <f>Y63+Y64</f>
        <v>7923383</v>
      </c>
      <c r="Z65" s="344">
        <f>Z63+Z64</f>
        <v>5776781</v>
      </c>
      <c r="AA65" s="344">
        <f t="shared" si="34"/>
        <v>5776781</v>
      </c>
      <c r="AB65" s="344">
        <f t="shared" si="34"/>
        <v>5610894</v>
      </c>
      <c r="AC65" s="344">
        <f t="shared" si="34"/>
        <v>5610894</v>
      </c>
      <c r="AD65" s="344">
        <f t="shared" si="34"/>
        <v>5610894</v>
      </c>
      <c r="AE65" s="989"/>
    </row>
    <row r="66" spans="1:23" ht="21.75" customHeight="1">
      <c r="A66" s="493"/>
      <c r="B66" s="494"/>
      <c r="C66" s="494"/>
      <c r="D66" s="494"/>
      <c r="E66" s="876" t="str">
        <f>IF(K65+R65=E65," ","HIBA-nincs egyenlőség")</f>
        <v> </v>
      </c>
      <c r="F66" s="495"/>
      <c r="G66" s="495"/>
      <c r="H66" s="495"/>
      <c r="I66" s="495"/>
      <c r="J66" s="495"/>
      <c r="K66" s="495"/>
      <c r="L66" s="495"/>
      <c r="M66" s="495"/>
      <c r="N66" s="843"/>
      <c r="O66" s="843"/>
      <c r="P66" s="495"/>
      <c r="Q66" s="495"/>
      <c r="R66" s="495"/>
      <c r="S66" s="495"/>
      <c r="T66" s="495"/>
      <c r="U66" s="495"/>
      <c r="V66" s="495"/>
      <c r="W66" s="495"/>
    </row>
    <row r="67" spans="1:21" ht="21.75" customHeight="1">
      <c r="A67" s="50"/>
      <c r="B67" s="97"/>
      <c r="C67" s="97"/>
      <c r="D67" s="97"/>
      <c r="E67" s="276"/>
      <c r="F67" s="277"/>
      <c r="G67" s="276"/>
      <c r="H67" s="276"/>
      <c r="I67" s="276"/>
      <c r="J67" s="276"/>
      <c r="K67" s="277"/>
      <c r="S67" s="277"/>
      <c r="T67" s="277"/>
      <c r="U67" s="277"/>
    </row>
    <row r="68" spans="1:21" ht="35.25" customHeight="1">
      <c r="A68" s="50"/>
      <c r="B68" s="97"/>
      <c r="C68" s="97"/>
      <c r="D68" s="97"/>
      <c r="E68" s="277"/>
      <c r="F68" s="277"/>
      <c r="G68" s="277"/>
      <c r="H68" s="277"/>
      <c r="I68" s="276"/>
      <c r="J68" s="277"/>
      <c r="K68" s="277"/>
      <c r="M68" s="277"/>
      <c r="N68" s="277"/>
      <c r="O68" s="277"/>
      <c r="P68" s="277"/>
      <c r="Q68" s="277"/>
      <c r="S68" s="277"/>
      <c r="T68" s="277"/>
      <c r="U68" s="277"/>
    </row>
    <row r="69" spans="1:21" ht="35.25" customHeight="1">
      <c r="A69" s="50"/>
      <c r="B69" s="97"/>
      <c r="C69" s="97"/>
      <c r="D69" s="97"/>
      <c r="E69" s="277"/>
      <c r="F69" s="277"/>
      <c r="G69" s="277"/>
      <c r="H69" s="277"/>
      <c r="I69" s="276"/>
      <c r="J69" s="277"/>
      <c r="K69" s="277"/>
      <c r="L69" s="277"/>
      <c r="N69" s="277"/>
      <c r="O69" s="277"/>
      <c r="P69" s="277"/>
      <c r="Q69" s="277"/>
      <c r="S69" s="277"/>
      <c r="T69" s="277"/>
      <c r="U69" s="277"/>
    </row>
    <row r="70" spans="5:21" ht="12.75">
      <c r="E70" s="277"/>
      <c r="F70" s="277"/>
      <c r="G70" s="277"/>
      <c r="H70" s="277"/>
      <c r="I70" s="277"/>
      <c r="J70" s="277"/>
      <c r="K70" s="277"/>
      <c r="L70" s="277"/>
      <c r="N70" s="277"/>
      <c r="O70" s="277"/>
      <c r="P70" s="277"/>
      <c r="Q70" s="277"/>
      <c r="S70" s="277"/>
      <c r="T70" s="277"/>
      <c r="U70" s="277"/>
    </row>
    <row r="71" spans="5:21" ht="12.75"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S71" s="277"/>
      <c r="T71" s="277"/>
      <c r="U71" s="277"/>
    </row>
    <row r="72" spans="5:21" ht="12.75"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S72" s="277"/>
      <c r="T72" s="277"/>
      <c r="U72" s="277"/>
    </row>
    <row r="73" spans="4:21" ht="12.75">
      <c r="D73" s="58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S73" s="277"/>
      <c r="T73" s="277"/>
      <c r="U73" s="277"/>
    </row>
    <row r="74" spans="4:21" ht="48.75" customHeight="1">
      <c r="D74" s="58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S74" s="277"/>
      <c r="T74" s="277"/>
      <c r="U74" s="277"/>
    </row>
    <row r="75" spans="4:21" ht="46.5" customHeight="1">
      <c r="D75" s="58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S75" s="277"/>
      <c r="T75" s="277"/>
      <c r="U75" s="277"/>
    </row>
    <row r="76" spans="5:21" ht="41.25" customHeight="1"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S76" s="277"/>
      <c r="T76" s="277"/>
      <c r="U76" s="277"/>
    </row>
    <row r="77" spans="5:21" ht="12.75"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S77" s="277"/>
      <c r="T77" s="277"/>
      <c r="U77" s="277"/>
    </row>
    <row r="78" spans="5:21" ht="12.75"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S78" s="277"/>
      <c r="T78" s="277"/>
      <c r="U78" s="277"/>
    </row>
    <row r="79" spans="5:21" ht="12.75"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S79" s="277"/>
      <c r="T79" s="277"/>
      <c r="U79" s="277"/>
    </row>
    <row r="80" spans="5:21" ht="12.75"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S80" s="277"/>
      <c r="T80" s="277"/>
      <c r="U80" s="277"/>
    </row>
    <row r="81" spans="5:21" ht="12.75"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S81" s="277"/>
      <c r="T81" s="277"/>
      <c r="U81" s="277"/>
    </row>
    <row r="82" spans="5:21" ht="12.75"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S82" s="277"/>
      <c r="T82" s="277"/>
      <c r="U82" s="277"/>
    </row>
    <row r="83" spans="5:21" ht="12.75"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S83" s="277"/>
      <c r="T83" s="277"/>
      <c r="U83" s="277"/>
    </row>
    <row r="84" spans="5:21" ht="12.75"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S84" s="277"/>
      <c r="T84" s="277"/>
      <c r="U84" s="277"/>
    </row>
    <row r="85" spans="5:21" ht="12.75"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S85" s="277"/>
      <c r="T85" s="277"/>
      <c r="U85" s="277"/>
    </row>
    <row r="86" spans="5:21" ht="12.75"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S86" s="277"/>
      <c r="T86" s="277"/>
      <c r="U86" s="277"/>
    </row>
    <row r="87" spans="5:21" ht="12.75"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S87" s="277"/>
      <c r="T87" s="277"/>
      <c r="U87" s="277"/>
    </row>
    <row r="88" spans="5:21" ht="12.75"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S88" s="277"/>
      <c r="T88" s="277"/>
      <c r="U88" s="277"/>
    </row>
    <row r="89" spans="5:21" ht="12.75"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S89" s="277"/>
      <c r="T89" s="277"/>
      <c r="U89" s="277"/>
    </row>
    <row r="90" spans="5:21" ht="12.75"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S90" s="277"/>
      <c r="T90" s="277"/>
      <c r="U90" s="277"/>
    </row>
    <row r="91" spans="5:21" ht="12.75"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S91" s="277"/>
      <c r="T91" s="277"/>
      <c r="U91" s="277"/>
    </row>
    <row r="92" spans="5:21" ht="12.75"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S92" s="277"/>
      <c r="T92" s="277"/>
      <c r="U92" s="277"/>
    </row>
    <row r="93" spans="5:21" ht="12.75"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S93" s="277"/>
      <c r="T93" s="277"/>
      <c r="U93" s="277"/>
    </row>
    <row r="94" spans="5:21" ht="12.75"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S94" s="277"/>
      <c r="T94" s="277"/>
      <c r="U94" s="277"/>
    </row>
    <row r="95" spans="5:21" ht="12.75"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S95" s="277"/>
      <c r="T95" s="277"/>
      <c r="U95" s="277"/>
    </row>
    <row r="96" spans="5:21" ht="12.75"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S96" s="277"/>
      <c r="T96" s="277"/>
      <c r="U96" s="277"/>
    </row>
    <row r="97" spans="5:21" ht="12.75"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S97" s="277"/>
      <c r="T97" s="277"/>
      <c r="U97" s="277"/>
    </row>
    <row r="98" spans="5:21" ht="12.75"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S98" s="277"/>
      <c r="T98" s="277"/>
      <c r="U98" s="277"/>
    </row>
    <row r="99" spans="5:21" ht="12.75"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S99" s="277"/>
      <c r="T99" s="277"/>
      <c r="U99" s="277"/>
    </row>
    <row r="100" spans="5:21" ht="12.75"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S100" s="277"/>
      <c r="T100" s="277"/>
      <c r="U100" s="277"/>
    </row>
    <row r="101" spans="5:21" ht="12.75"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S101" s="277"/>
      <c r="T101" s="277"/>
      <c r="U101" s="277"/>
    </row>
    <row r="102" spans="5:21" ht="12.75"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S102" s="277"/>
      <c r="T102" s="277"/>
      <c r="U102" s="277"/>
    </row>
    <row r="103" spans="5:21" ht="12.75"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S103" s="277"/>
      <c r="T103" s="277"/>
      <c r="U103" s="277"/>
    </row>
    <row r="104" spans="5:21" ht="12.75"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S104" s="277"/>
      <c r="T104" s="277"/>
      <c r="U104" s="277"/>
    </row>
    <row r="105" spans="5:21" ht="12.75"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S105" s="277"/>
      <c r="T105" s="277"/>
      <c r="U105" s="277"/>
    </row>
    <row r="106" spans="5:21" ht="12.75"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S106" s="277"/>
      <c r="T106" s="277"/>
      <c r="U106" s="277"/>
    </row>
    <row r="107" spans="5:21" ht="12.75"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S107" s="277"/>
      <c r="T107" s="277"/>
      <c r="U107" s="277"/>
    </row>
    <row r="108" spans="5:21" ht="12.75"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S108" s="277"/>
      <c r="T108" s="277"/>
      <c r="U108" s="277"/>
    </row>
    <row r="109" spans="5:21" ht="12.75"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S109" s="277"/>
      <c r="T109" s="277"/>
      <c r="U109" s="277"/>
    </row>
    <row r="110" spans="5:21" ht="12.75"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S110" s="277"/>
      <c r="T110" s="277"/>
      <c r="U110" s="277"/>
    </row>
    <row r="111" spans="5:21" ht="12.75"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S111" s="277"/>
      <c r="T111" s="277"/>
      <c r="U111" s="277"/>
    </row>
    <row r="112" spans="5:21" ht="12.75">
      <c r="E112" s="277"/>
      <c r="F112" s="277"/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277"/>
      <c r="S112" s="277"/>
      <c r="T112" s="277"/>
      <c r="U112" s="277"/>
    </row>
    <row r="113" spans="5:21" ht="12.75">
      <c r="E113" s="277"/>
      <c r="F113" s="27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S113" s="277"/>
      <c r="T113" s="277"/>
      <c r="U113" s="277"/>
    </row>
    <row r="114" spans="5:21" ht="12.75">
      <c r="E114" s="277"/>
      <c r="F114" s="27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S114" s="277"/>
      <c r="T114" s="277"/>
      <c r="U114" s="277"/>
    </row>
  </sheetData>
  <sheetProtection/>
  <mergeCells count="49">
    <mergeCell ref="C38:D38"/>
    <mergeCell ref="C36:D36"/>
    <mergeCell ref="C34:D34"/>
    <mergeCell ref="A64:D64"/>
    <mergeCell ref="C51:D51"/>
    <mergeCell ref="B59:D59"/>
    <mergeCell ref="B35:D35"/>
    <mergeCell ref="B44:D44"/>
    <mergeCell ref="X5:AD5"/>
    <mergeCell ref="B55:D55"/>
    <mergeCell ref="C56:D56"/>
    <mergeCell ref="C57:D57"/>
    <mergeCell ref="C31:D31"/>
    <mergeCell ref="C54:D54"/>
    <mergeCell ref="C37:D37"/>
    <mergeCell ref="B52:D52"/>
    <mergeCell ref="C40:D40"/>
    <mergeCell ref="C45:D45"/>
    <mergeCell ref="O1:AB1"/>
    <mergeCell ref="C32:D32"/>
    <mergeCell ref="C50:D50"/>
    <mergeCell ref="C46:D46"/>
    <mergeCell ref="C39:D39"/>
    <mergeCell ref="B22:D22"/>
    <mergeCell ref="C23:D23"/>
    <mergeCell ref="C24:D24"/>
    <mergeCell ref="C9:D9"/>
    <mergeCell ref="C30:D30"/>
    <mergeCell ref="A65:D65"/>
    <mergeCell ref="B63:D63"/>
    <mergeCell ref="C62:D62"/>
    <mergeCell ref="C53:D53"/>
    <mergeCell ref="B58:D58"/>
    <mergeCell ref="C61:D61"/>
    <mergeCell ref="C60:D60"/>
    <mergeCell ref="C14:D14"/>
    <mergeCell ref="C33:D33"/>
    <mergeCell ref="C17:D17"/>
    <mergeCell ref="R5:W5"/>
    <mergeCell ref="C26:D26"/>
    <mergeCell ref="C18:D18"/>
    <mergeCell ref="C21:D21"/>
    <mergeCell ref="C25:D25"/>
    <mergeCell ref="A3:R3"/>
    <mergeCell ref="A5:C5"/>
    <mergeCell ref="B7:D7"/>
    <mergeCell ref="B8:D8"/>
    <mergeCell ref="E5:J5"/>
    <mergeCell ref="K5:Q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33" r:id="rId1"/>
  <colBreaks count="1" manualBreakCount="1">
    <brk id="22" max="6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workbookViewId="0" topLeftCell="A1">
      <selection activeCell="S3" sqref="S3"/>
    </sheetView>
  </sheetViews>
  <sheetFormatPr defaultColWidth="9.140625" defaultRowHeight="12.75"/>
  <cols>
    <col min="1" max="1" width="9.140625" style="9" customWidth="1"/>
    <col min="2" max="2" width="12.00390625" style="9" customWidth="1"/>
    <col min="3" max="3" width="34.7109375" style="9" customWidth="1"/>
    <col min="4" max="4" width="14.28125" style="563" customWidth="1"/>
    <col min="5" max="5" width="15.28125" style="563" customWidth="1"/>
    <col min="6" max="6" width="15.28125" style="563" hidden="1" customWidth="1"/>
    <col min="7" max="7" width="15.7109375" style="563" hidden="1" customWidth="1"/>
    <col min="8" max="8" width="16.140625" style="563" hidden="1" customWidth="1"/>
    <col min="9" max="9" width="15.57421875" style="563" hidden="1" customWidth="1"/>
    <col min="10" max="10" width="9.7109375" style="563" hidden="1" customWidth="1"/>
    <col min="11" max="11" width="14.140625" style="564" customWidth="1"/>
    <col min="12" max="12" width="13.8515625" style="564" customWidth="1"/>
    <col min="13" max="13" width="15.421875" style="564" hidden="1" customWidth="1"/>
    <col min="14" max="14" width="16.57421875" style="564" hidden="1" customWidth="1"/>
    <col min="15" max="15" width="12.7109375" style="564" hidden="1" customWidth="1"/>
    <col min="16" max="16" width="13.7109375" style="564" hidden="1" customWidth="1"/>
    <col min="17" max="17" width="10.421875" style="564" hidden="1" customWidth="1"/>
    <col min="18" max="18" width="13.00390625" style="564" customWidth="1"/>
    <col min="19" max="19" width="13.7109375" style="564" customWidth="1"/>
    <col min="20" max="20" width="12.421875" style="9" hidden="1" customWidth="1"/>
    <col min="21" max="21" width="12.7109375" style="9" hidden="1" customWidth="1"/>
    <col min="22" max="22" width="11.8515625" style="9" hidden="1" customWidth="1"/>
    <col min="23" max="23" width="12.28125" style="9" hidden="1" customWidth="1"/>
    <col min="24" max="24" width="1.7109375" style="9" hidden="1" customWidth="1"/>
    <col min="25" max="16384" width="9.140625" style="9" customWidth="1"/>
  </cols>
  <sheetData>
    <row r="1" spans="4:23" ht="12.75">
      <c r="D1" s="558"/>
      <c r="E1" s="558"/>
      <c r="F1" s="558"/>
      <c r="G1" s="558"/>
      <c r="H1" s="558"/>
      <c r="I1" s="558"/>
      <c r="J1" s="558"/>
      <c r="K1" s="1312" t="s">
        <v>620</v>
      </c>
      <c r="L1" s="1312"/>
      <c r="M1" s="1312"/>
      <c r="N1" s="1312"/>
      <c r="O1" s="1312"/>
      <c r="P1" s="1312"/>
      <c r="Q1" s="1312"/>
      <c r="R1" s="1312"/>
      <c r="S1" s="1312"/>
      <c r="T1" s="1312"/>
      <c r="U1" s="1312"/>
      <c r="V1" s="1312"/>
      <c r="W1" s="1312"/>
    </row>
    <row r="2" spans="4:23" ht="12.75">
      <c r="D2" s="558"/>
      <c r="E2" s="558"/>
      <c r="F2" s="558"/>
      <c r="G2" s="558"/>
      <c r="H2" s="558"/>
      <c r="I2" s="558"/>
      <c r="J2" s="558"/>
      <c r="K2" s="1188"/>
      <c r="L2" s="1188"/>
      <c r="M2" s="1188"/>
      <c r="N2" s="1188"/>
      <c r="O2" s="1188"/>
      <c r="P2" s="1188"/>
      <c r="Q2" s="1188"/>
      <c r="R2" s="1188"/>
      <c r="S2" s="1188" t="s">
        <v>625</v>
      </c>
      <c r="T2" s="1188"/>
      <c r="U2" s="1188"/>
      <c r="V2" s="1188"/>
      <c r="W2" s="1188"/>
    </row>
    <row r="3" spans="1:19" ht="16.5" customHeight="1">
      <c r="A3" s="1313" t="s">
        <v>347</v>
      </c>
      <c r="B3" s="1313"/>
      <c r="C3" s="1313"/>
      <c r="D3" s="1313"/>
      <c r="E3" s="1313"/>
      <c r="F3" s="1313"/>
      <c r="G3" s="1313"/>
      <c r="H3" s="1313"/>
      <c r="I3" s="1313"/>
      <c r="J3" s="1313"/>
      <c r="K3" s="1313"/>
      <c r="L3" s="1313"/>
      <c r="M3" s="1313"/>
      <c r="N3" s="1313"/>
      <c r="O3" s="1313"/>
      <c r="P3" s="1313"/>
      <c r="Q3" s="1313"/>
      <c r="R3" s="1313"/>
      <c r="S3" s="559"/>
    </row>
    <row r="4" spans="1:19" ht="15" customHeight="1">
      <c r="A4" s="1314" t="s">
        <v>575</v>
      </c>
      <c r="B4" s="1314"/>
      <c r="C4" s="1314"/>
      <c r="D4" s="1314"/>
      <c r="E4" s="1314"/>
      <c r="F4" s="1314"/>
      <c r="G4" s="1314"/>
      <c r="H4" s="1314"/>
      <c r="I4" s="1314"/>
      <c r="J4" s="1314"/>
      <c r="K4" s="1314"/>
      <c r="L4" s="1314"/>
      <c r="M4" s="1314"/>
      <c r="N4" s="1314"/>
      <c r="O4" s="1314"/>
      <c r="P4" s="1314"/>
      <c r="Q4" s="1314"/>
      <c r="R4" s="1314"/>
      <c r="S4" s="560"/>
    </row>
    <row r="5" spans="1:19" ht="15" customHeight="1">
      <c r="A5" s="1315" t="s">
        <v>348</v>
      </c>
      <c r="B5" s="1315"/>
      <c r="C5" s="1315"/>
      <c r="D5" s="1315"/>
      <c r="E5" s="1315"/>
      <c r="F5" s="1315"/>
      <c r="G5" s="1315"/>
      <c r="H5" s="1315"/>
      <c r="I5" s="1315"/>
      <c r="J5" s="1315"/>
      <c r="K5" s="1315"/>
      <c r="L5" s="1315"/>
      <c r="M5" s="1315"/>
      <c r="N5" s="1315"/>
      <c r="O5" s="1315"/>
      <c r="P5" s="1315"/>
      <c r="Q5" s="1315"/>
      <c r="R5" s="1315"/>
      <c r="S5" s="561"/>
    </row>
    <row r="6" spans="2:23" ht="13.5" thickBot="1">
      <c r="B6" s="562"/>
      <c r="C6" s="562"/>
      <c r="R6" s="1317" t="s">
        <v>456</v>
      </c>
      <c r="S6" s="1317"/>
      <c r="T6" s="1317"/>
      <c r="U6" s="1317"/>
      <c r="V6" s="1317"/>
      <c r="W6" s="1317"/>
    </row>
    <row r="7" spans="1:25" s="567" customFormat="1" ht="41.25" customHeight="1" thickBot="1">
      <c r="A7" s="565" t="s">
        <v>5</v>
      </c>
      <c r="B7" s="1316" t="s">
        <v>3</v>
      </c>
      <c r="C7" s="1316"/>
      <c r="D7" s="1318" t="s">
        <v>4</v>
      </c>
      <c r="E7" s="1319"/>
      <c r="F7" s="1319"/>
      <c r="G7" s="1319"/>
      <c r="H7" s="1319"/>
      <c r="I7" s="1319"/>
      <c r="J7" s="1320"/>
      <c r="K7" s="1318" t="s">
        <v>349</v>
      </c>
      <c r="L7" s="1319"/>
      <c r="M7" s="1319"/>
      <c r="N7" s="1319"/>
      <c r="O7" s="1319"/>
      <c r="P7" s="1319"/>
      <c r="Q7" s="1320"/>
      <c r="R7" s="1318" t="s">
        <v>350</v>
      </c>
      <c r="S7" s="1319"/>
      <c r="T7" s="1319"/>
      <c r="U7" s="1319"/>
      <c r="V7" s="1319"/>
      <c r="W7" s="1319"/>
      <c r="X7" s="1320"/>
      <c r="Y7" s="566"/>
    </row>
    <row r="8" spans="1:24" s="567" customFormat="1" ht="41.25" customHeight="1" thickBot="1">
      <c r="A8" s="29"/>
      <c r="B8" s="568"/>
      <c r="C8" s="568"/>
      <c r="D8" s="569" t="s">
        <v>62</v>
      </c>
      <c r="E8" s="570" t="s">
        <v>215</v>
      </c>
      <c r="F8" s="570" t="s">
        <v>218</v>
      </c>
      <c r="G8" s="570" t="s">
        <v>220</v>
      </c>
      <c r="H8" s="570" t="s">
        <v>232</v>
      </c>
      <c r="I8" s="570" t="s">
        <v>237</v>
      </c>
      <c r="J8" s="571" t="s">
        <v>333</v>
      </c>
      <c r="K8" s="569" t="s">
        <v>62</v>
      </c>
      <c r="L8" s="570" t="s">
        <v>215</v>
      </c>
      <c r="M8" s="570" t="s">
        <v>218</v>
      </c>
      <c r="N8" s="570" t="s">
        <v>220</v>
      </c>
      <c r="O8" s="570" t="s">
        <v>232</v>
      </c>
      <c r="P8" s="570" t="s">
        <v>237</v>
      </c>
      <c r="Q8" s="571" t="s">
        <v>333</v>
      </c>
      <c r="R8" s="569" t="s">
        <v>62</v>
      </c>
      <c r="S8" s="570" t="s">
        <v>215</v>
      </c>
      <c r="T8" s="570" t="s">
        <v>218</v>
      </c>
      <c r="U8" s="570" t="s">
        <v>220</v>
      </c>
      <c r="V8" s="570" t="s">
        <v>232</v>
      </c>
      <c r="W8" s="570" t="s">
        <v>237</v>
      </c>
      <c r="X8" s="571" t="s">
        <v>333</v>
      </c>
    </row>
    <row r="9" spans="1:24" ht="27.75" customHeight="1">
      <c r="A9" s="30">
        <v>1</v>
      </c>
      <c r="B9" s="1322" t="s">
        <v>351</v>
      </c>
      <c r="C9" s="1322"/>
      <c r="D9" s="572">
        <v>658000</v>
      </c>
      <c r="E9" s="572">
        <v>658000</v>
      </c>
      <c r="F9" s="572"/>
      <c r="G9" s="572"/>
      <c r="H9" s="572"/>
      <c r="I9" s="573"/>
      <c r="J9" s="574"/>
      <c r="K9" s="572">
        <v>658000</v>
      </c>
      <c r="L9" s="572">
        <v>658000</v>
      </c>
      <c r="M9" s="572"/>
      <c r="N9" s="572"/>
      <c r="O9" s="572"/>
      <c r="P9" s="573"/>
      <c r="Q9" s="574"/>
      <c r="R9" s="572"/>
      <c r="S9" s="573"/>
      <c r="T9" s="573"/>
      <c r="U9" s="573"/>
      <c r="V9" s="573"/>
      <c r="W9" s="573"/>
      <c r="X9" s="575"/>
    </row>
    <row r="10" spans="1:24" ht="27.75" customHeight="1">
      <c r="A10" s="30">
        <v>2</v>
      </c>
      <c r="B10" s="1321" t="s">
        <v>470</v>
      </c>
      <c r="C10" s="1321"/>
      <c r="D10" s="577">
        <v>147634</v>
      </c>
      <c r="E10" s="577">
        <v>147634</v>
      </c>
      <c r="F10" s="577"/>
      <c r="G10" s="577"/>
      <c r="H10" s="577"/>
      <c r="I10" s="577"/>
      <c r="J10" s="579"/>
      <c r="K10" s="577">
        <v>147634</v>
      </c>
      <c r="L10" s="577">
        <v>147634</v>
      </c>
      <c r="M10" s="577"/>
      <c r="N10" s="577"/>
      <c r="O10" s="577"/>
      <c r="P10" s="577"/>
      <c r="Q10" s="579"/>
      <c r="R10" s="577"/>
      <c r="S10" s="578"/>
      <c r="T10" s="578"/>
      <c r="U10" s="578"/>
      <c r="V10" s="578"/>
      <c r="W10" s="578"/>
      <c r="X10" s="580"/>
    </row>
    <row r="11" spans="1:24" ht="27.75" customHeight="1">
      <c r="A11" s="30">
        <v>3</v>
      </c>
      <c r="B11" s="1321" t="s">
        <v>352</v>
      </c>
      <c r="C11" s="1321"/>
      <c r="D11" s="577">
        <v>2000000</v>
      </c>
      <c r="E11" s="577">
        <v>2000000</v>
      </c>
      <c r="F11" s="577"/>
      <c r="G11" s="577"/>
      <c r="H11" s="577"/>
      <c r="I11" s="577"/>
      <c r="J11" s="579"/>
      <c r="K11" s="577">
        <v>2000000</v>
      </c>
      <c r="L11" s="577">
        <v>2000000</v>
      </c>
      <c r="M11" s="577"/>
      <c r="N11" s="577"/>
      <c r="O11" s="577"/>
      <c r="P11" s="577"/>
      <c r="Q11" s="579"/>
      <c r="R11" s="577"/>
      <c r="S11" s="578"/>
      <c r="T11" s="578"/>
      <c r="U11" s="578"/>
      <c r="V11" s="578"/>
      <c r="W11" s="578"/>
      <c r="X11" s="580"/>
    </row>
    <row r="12" spans="1:24" ht="27.75" customHeight="1">
      <c r="A12" s="30">
        <v>4</v>
      </c>
      <c r="B12" s="1321" t="s">
        <v>353</v>
      </c>
      <c r="C12" s="1321"/>
      <c r="D12" s="577">
        <v>1166177</v>
      </c>
      <c r="E12" s="577">
        <v>1166177</v>
      </c>
      <c r="F12" s="577"/>
      <c r="G12" s="577"/>
      <c r="H12" s="577"/>
      <c r="I12" s="578"/>
      <c r="J12" s="579"/>
      <c r="K12" s="577"/>
      <c r="L12" s="577"/>
      <c r="M12" s="577"/>
      <c r="N12" s="577"/>
      <c r="O12" s="577"/>
      <c r="P12" s="578"/>
      <c r="Q12" s="579"/>
      <c r="R12" s="577">
        <v>1166177</v>
      </c>
      <c r="S12" s="577">
        <v>1166177</v>
      </c>
      <c r="T12" s="577"/>
      <c r="U12" s="577"/>
      <c r="V12" s="577"/>
      <c r="W12" s="578"/>
      <c r="X12" s="579" t="e">
        <f>V12/U12</f>
        <v>#DIV/0!</v>
      </c>
    </row>
    <row r="13" spans="1:24" ht="27.75" customHeight="1">
      <c r="A13" s="30">
        <v>5</v>
      </c>
      <c r="B13" s="1321" t="s">
        <v>354</v>
      </c>
      <c r="C13" s="1321"/>
      <c r="D13" s="577">
        <v>7201677</v>
      </c>
      <c r="E13" s="577">
        <v>7201677</v>
      </c>
      <c r="F13" s="577"/>
      <c r="G13" s="577"/>
      <c r="H13" s="577"/>
      <c r="I13" s="578"/>
      <c r="J13" s="579"/>
      <c r="K13" s="577">
        <v>7201677</v>
      </c>
      <c r="L13" s="577">
        <v>7201677</v>
      </c>
      <c r="M13" s="577"/>
      <c r="N13" s="577"/>
      <c r="O13" s="577"/>
      <c r="P13" s="578"/>
      <c r="Q13" s="579"/>
      <c r="R13" s="577"/>
      <c r="S13" s="577"/>
      <c r="T13" s="578"/>
      <c r="U13" s="578"/>
      <c r="V13" s="578"/>
      <c r="W13" s="578"/>
      <c r="X13" s="580"/>
    </row>
    <row r="14" spans="1:24" ht="27.75" customHeight="1">
      <c r="A14" s="30">
        <v>6</v>
      </c>
      <c r="B14" s="1321" t="s">
        <v>355</v>
      </c>
      <c r="C14" s="1321"/>
      <c r="D14" s="577">
        <v>32702978</v>
      </c>
      <c r="E14" s="577">
        <v>29012778</v>
      </c>
      <c r="F14" s="577"/>
      <c r="G14" s="577"/>
      <c r="H14" s="577"/>
      <c r="I14" s="578"/>
      <c r="J14" s="579"/>
      <c r="K14" s="577">
        <v>32702978</v>
      </c>
      <c r="L14" s="577">
        <v>29012778</v>
      </c>
      <c r="M14" s="577"/>
      <c r="N14" s="577"/>
      <c r="O14" s="577"/>
      <c r="P14" s="578"/>
      <c r="Q14" s="579"/>
      <c r="R14" s="577"/>
      <c r="S14" s="577"/>
      <c r="T14" s="578"/>
      <c r="U14" s="578"/>
      <c r="V14" s="578"/>
      <c r="W14" s="578"/>
      <c r="X14" s="580"/>
    </row>
    <row r="15" spans="1:24" ht="27.75" customHeight="1">
      <c r="A15" s="30">
        <v>7</v>
      </c>
      <c r="B15" s="576" t="s">
        <v>592</v>
      </c>
      <c r="C15" s="576"/>
      <c r="D15" s="577">
        <v>48252</v>
      </c>
      <c r="E15" s="577">
        <v>48252</v>
      </c>
      <c r="F15" s="577"/>
      <c r="G15" s="577"/>
      <c r="H15" s="577"/>
      <c r="I15" s="577"/>
      <c r="J15" s="579"/>
      <c r="K15" s="577">
        <v>48252</v>
      </c>
      <c r="L15" s="577">
        <v>48252</v>
      </c>
      <c r="M15" s="577"/>
      <c r="N15" s="577"/>
      <c r="O15" s="577"/>
      <c r="P15" s="577"/>
      <c r="Q15" s="579"/>
      <c r="R15" s="577"/>
      <c r="S15" s="577"/>
      <c r="T15" s="578"/>
      <c r="U15" s="578"/>
      <c r="V15" s="578"/>
      <c r="W15" s="578"/>
      <c r="X15" s="580"/>
    </row>
    <row r="16" spans="1:24" ht="27.75" customHeight="1">
      <c r="A16" s="30">
        <v>8</v>
      </c>
      <c r="B16" s="1321" t="s">
        <v>356</v>
      </c>
      <c r="C16" s="1321"/>
      <c r="D16" s="577">
        <v>2205140</v>
      </c>
      <c r="E16" s="577">
        <v>2205140</v>
      </c>
      <c r="F16" s="577"/>
      <c r="G16" s="577"/>
      <c r="H16" s="577"/>
      <c r="I16" s="578"/>
      <c r="J16" s="579"/>
      <c r="K16" s="577">
        <v>2205140</v>
      </c>
      <c r="L16" s="577">
        <v>2205140</v>
      </c>
      <c r="M16" s="577"/>
      <c r="N16" s="577"/>
      <c r="O16" s="577"/>
      <c r="P16" s="578"/>
      <c r="Q16" s="579"/>
      <c r="R16" s="577"/>
      <c r="S16" s="577"/>
      <c r="T16" s="578"/>
      <c r="U16" s="578"/>
      <c r="V16" s="578"/>
      <c r="W16" s="578"/>
      <c r="X16" s="580"/>
    </row>
    <row r="17" spans="1:24" ht="27.75" customHeight="1">
      <c r="A17" s="30">
        <v>9</v>
      </c>
      <c r="B17" s="1321" t="s">
        <v>357</v>
      </c>
      <c r="C17" s="1321"/>
      <c r="D17" s="577">
        <v>187200</v>
      </c>
      <c r="E17" s="577">
        <v>187200</v>
      </c>
      <c r="F17" s="577"/>
      <c r="G17" s="577"/>
      <c r="H17" s="577"/>
      <c r="I17" s="577"/>
      <c r="J17" s="579"/>
      <c r="K17" s="577">
        <v>187200</v>
      </c>
      <c r="L17" s="577">
        <v>187200</v>
      </c>
      <c r="M17" s="577"/>
      <c r="N17" s="577"/>
      <c r="O17" s="577"/>
      <c r="P17" s="577"/>
      <c r="Q17" s="579"/>
      <c r="R17" s="577"/>
      <c r="S17" s="577"/>
      <c r="T17" s="578"/>
      <c r="U17" s="578"/>
      <c r="V17" s="578"/>
      <c r="W17" s="578"/>
      <c r="X17" s="580"/>
    </row>
    <row r="18" spans="1:24" ht="36" customHeight="1" hidden="1">
      <c r="A18" s="30">
        <v>10</v>
      </c>
      <c r="B18" s="1323" t="s">
        <v>358</v>
      </c>
      <c r="C18" s="1324"/>
      <c r="D18" s="577"/>
      <c r="E18" s="577"/>
      <c r="F18" s="577"/>
      <c r="G18" s="577"/>
      <c r="H18" s="577"/>
      <c r="I18" s="578"/>
      <c r="J18" s="579"/>
      <c r="K18" s="577"/>
      <c r="L18" s="577"/>
      <c r="M18" s="577"/>
      <c r="N18" s="577"/>
      <c r="O18" s="577"/>
      <c r="P18" s="578"/>
      <c r="Q18" s="579"/>
      <c r="R18" s="577"/>
      <c r="S18" s="577"/>
      <c r="T18" s="578"/>
      <c r="U18" s="578"/>
      <c r="V18" s="578"/>
      <c r="W18" s="578"/>
      <c r="X18" s="580"/>
    </row>
    <row r="19" spans="1:24" ht="27.75" customHeight="1">
      <c r="A19" s="30">
        <v>10</v>
      </c>
      <c r="B19" s="1325" t="s">
        <v>359</v>
      </c>
      <c r="C19" s="1325"/>
      <c r="D19" s="581">
        <v>952500</v>
      </c>
      <c r="E19" s="581">
        <v>952500</v>
      </c>
      <c r="F19" s="581"/>
      <c r="G19" s="581"/>
      <c r="H19" s="581"/>
      <c r="I19" s="581"/>
      <c r="J19" s="579"/>
      <c r="K19" s="581">
        <v>952500</v>
      </c>
      <c r="L19" s="581">
        <v>952500</v>
      </c>
      <c r="M19" s="581"/>
      <c r="N19" s="581"/>
      <c r="O19" s="581"/>
      <c r="P19" s="581"/>
      <c r="Q19" s="579"/>
      <c r="R19" s="581"/>
      <c r="S19" s="581"/>
      <c r="T19" s="582"/>
      <c r="U19" s="582"/>
      <c r="V19" s="582"/>
      <c r="W19" s="582"/>
      <c r="X19" s="583"/>
    </row>
    <row r="20" spans="1:24" ht="27.75" customHeight="1">
      <c r="A20" s="30">
        <v>11</v>
      </c>
      <c r="B20" s="1326" t="s">
        <v>593</v>
      </c>
      <c r="C20" s="1327"/>
      <c r="D20" s="581">
        <v>6198000</v>
      </c>
      <c r="E20" s="581">
        <v>6198000</v>
      </c>
      <c r="F20" s="581"/>
      <c r="G20" s="581"/>
      <c r="H20" s="581"/>
      <c r="I20" s="581"/>
      <c r="J20" s="579"/>
      <c r="K20" s="581">
        <v>6198000</v>
      </c>
      <c r="L20" s="581">
        <v>6198000</v>
      </c>
      <c r="M20" s="581"/>
      <c r="N20" s="581"/>
      <c r="O20" s="581"/>
      <c r="P20" s="581"/>
      <c r="Q20" s="579"/>
      <c r="R20" s="581"/>
      <c r="S20" s="581"/>
      <c r="T20" s="582"/>
      <c r="U20" s="582"/>
      <c r="V20" s="582"/>
      <c r="W20" s="582"/>
      <c r="X20" s="583"/>
    </row>
    <row r="21" spans="1:24" ht="27.75" customHeight="1" hidden="1">
      <c r="A21" s="30">
        <v>12</v>
      </c>
      <c r="B21" s="1326" t="s">
        <v>489</v>
      </c>
      <c r="C21" s="1327"/>
      <c r="D21" s="581"/>
      <c r="E21" s="581"/>
      <c r="F21" s="581"/>
      <c r="G21" s="581"/>
      <c r="H21" s="581"/>
      <c r="I21" s="582"/>
      <c r="J21" s="579"/>
      <c r="K21" s="581"/>
      <c r="L21" s="581"/>
      <c r="M21" s="581"/>
      <c r="N21" s="581"/>
      <c r="O21" s="581"/>
      <c r="P21" s="582"/>
      <c r="Q21" s="579"/>
      <c r="R21" s="581"/>
      <c r="S21" s="581"/>
      <c r="T21" s="582"/>
      <c r="U21" s="582"/>
      <c r="V21" s="582"/>
      <c r="W21" s="582"/>
      <c r="X21" s="583"/>
    </row>
    <row r="22" spans="1:24" ht="27.75" customHeight="1">
      <c r="A22" s="30">
        <v>12</v>
      </c>
      <c r="B22" s="1326" t="s">
        <v>516</v>
      </c>
      <c r="C22" s="1327"/>
      <c r="D22" s="581">
        <v>14205002</v>
      </c>
      <c r="E22" s="581">
        <v>14205002</v>
      </c>
      <c r="F22" s="581"/>
      <c r="G22" s="581"/>
      <c r="H22" s="581"/>
      <c r="I22" s="582"/>
      <c r="J22" s="579"/>
      <c r="K22" s="581"/>
      <c r="L22" s="581"/>
      <c r="M22" s="581"/>
      <c r="N22" s="581"/>
      <c r="O22" s="581"/>
      <c r="P22" s="582"/>
      <c r="Q22" s="579"/>
      <c r="R22" s="581">
        <v>14205002</v>
      </c>
      <c r="S22" s="581">
        <v>14205002</v>
      </c>
      <c r="T22" s="581"/>
      <c r="U22" s="581"/>
      <c r="V22" s="582"/>
      <c r="W22" s="582"/>
      <c r="X22" s="583"/>
    </row>
    <row r="23" spans="1:24" ht="27.75" customHeight="1" hidden="1">
      <c r="A23" s="30">
        <v>13</v>
      </c>
      <c r="B23" s="1326" t="s">
        <v>490</v>
      </c>
      <c r="C23" s="1327"/>
      <c r="D23" s="581"/>
      <c r="E23" s="581"/>
      <c r="F23" s="581"/>
      <c r="G23" s="581"/>
      <c r="H23" s="581"/>
      <c r="I23" s="582"/>
      <c r="J23" s="579"/>
      <c r="K23" s="581"/>
      <c r="L23" s="581"/>
      <c r="M23" s="581"/>
      <c r="N23" s="581"/>
      <c r="O23" s="581"/>
      <c r="P23" s="582"/>
      <c r="Q23" s="579"/>
      <c r="R23" s="581"/>
      <c r="S23" s="581"/>
      <c r="T23" s="582"/>
      <c r="U23" s="582"/>
      <c r="V23" s="582"/>
      <c r="W23" s="582"/>
      <c r="X23" s="583"/>
    </row>
    <row r="24" spans="1:24" ht="27.75" customHeight="1" hidden="1">
      <c r="A24" s="30">
        <v>15</v>
      </c>
      <c r="B24" s="1326" t="s">
        <v>502</v>
      </c>
      <c r="C24" s="1327"/>
      <c r="D24" s="581"/>
      <c r="E24" s="581"/>
      <c r="F24" s="581"/>
      <c r="G24" s="581"/>
      <c r="H24" s="581"/>
      <c r="I24" s="582"/>
      <c r="J24" s="579"/>
      <c r="K24" s="581"/>
      <c r="L24" s="581"/>
      <c r="M24" s="581"/>
      <c r="N24" s="581"/>
      <c r="O24" s="581"/>
      <c r="P24" s="582"/>
      <c r="Q24" s="579"/>
      <c r="R24" s="581"/>
      <c r="S24" s="581"/>
      <c r="T24" s="582"/>
      <c r="U24" s="582"/>
      <c r="V24" s="582"/>
      <c r="W24" s="582"/>
      <c r="X24" s="583"/>
    </row>
    <row r="25" spans="1:24" ht="27.75" customHeight="1">
      <c r="A25" s="30">
        <v>13</v>
      </c>
      <c r="B25" s="1326" t="s">
        <v>515</v>
      </c>
      <c r="C25" s="1327"/>
      <c r="D25" s="581">
        <v>62464</v>
      </c>
      <c r="E25" s="581">
        <v>62464</v>
      </c>
      <c r="F25" s="581"/>
      <c r="G25" s="581"/>
      <c r="H25" s="581"/>
      <c r="I25" s="582"/>
      <c r="J25" s="579"/>
      <c r="K25" s="581">
        <v>62464</v>
      </c>
      <c r="L25" s="581">
        <v>62464</v>
      </c>
      <c r="M25" s="581"/>
      <c r="N25" s="581"/>
      <c r="O25" s="581"/>
      <c r="P25" s="582"/>
      <c r="Q25" s="579"/>
      <c r="R25" s="581"/>
      <c r="S25" s="581"/>
      <c r="T25" s="582"/>
      <c r="U25" s="582"/>
      <c r="V25" s="582"/>
      <c r="W25" s="582"/>
      <c r="X25" s="583"/>
    </row>
    <row r="26" spans="1:24" ht="27.75" customHeight="1" hidden="1">
      <c r="A26" s="30"/>
      <c r="B26" s="1326" t="s">
        <v>503</v>
      </c>
      <c r="C26" s="1327"/>
      <c r="D26" s="581"/>
      <c r="E26" s="581"/>
      <c r="F26" s="581"/>
      <c r="G26" s="581"/>
      <c r="H26" s="581"/>
      <c r="I26" s="582"/>
      <c r="J26" s="579"/>
      <c r="K26" s="581"/>
      <c r="L26" s="581"/>
      <c r="M26" s="581"/>
      <c r="N26" s="581"/>
      <c r="O26" s="581"/>
      <c r="P26" s="582"/>
      <c r="Q26" s="579"/>
      <c r="R26" s="581"/>
      <c r="S26" s="581"/>
      <c r="T26" s="582"/>
      <c r="U26" s="582"/>
      <c r="V26" s="582"/>
      <c r="W26" s="582"/>
      <c r="X26" s="583"/>
    </row>
    <row r="27" spans="1:24" ht="27.75" customHeight="1" hidden="1" thickBot="1">
      <c r="A27" s="30"/>
      <c r="B27" s="1328" t="s">
        <v>380</v>
      </c>
      <c r="C27" s="1329"/>
      <c r="D27" s="581"/>
      <c r="E27" s="581"/>
      <c r="F27" s="581"/>
      <c r="G27" s="581"/>
      <c r="H27" s="581"/>
      <c r="I27" s="582"/>
      <c r="J27" s="579"/>
      <c r="K27" s="581"/>
      <c r="L27" s="581"/>
      <c r="M27" s="581"/>
      <c r="N27" s="581"/>
      <c r="O27" s="581"/>
      <c r="P27" s="582"/>
      <c r="Q27" s="579"/>
      <c r="R27" s="581"/>
      <c r="S27" s="581"/>
      <c r="T27" s="582"/>
      <c r="U27" s="582"/>
      <c r="V27" s="582"/>
      <c r="W27" s="582"/>
      <c r="X27" s="583"/>
    </row>
    <row r="28" spans="1:24" ht="27.75" customHeight="1">
      <c r="A28" s="30">
        <v>14</v>
      </c>
      <c r="B28" s="1326" t="s">
        <v>594</v>
      </c>
      <c r="C28" s="1327"/>
      <c r="D28" s="581">
        <v>3355850</v>
      </c>
      <c r="E28" s="581">
        <v>3355850</v>
      </c>
      <c r="F28" s="581"/>
      <c r="G28" s="581"/>
      <c r="H28" s="581"/>
      <c r="I28" s="582"/>
      <c r="J28" s="579"/>
      <c r="K28" s="581">
        <v>3355850</v>
      </c>
      <c r="L28" s="581">
        <v>3355850</v>
      </c>
      <c r="M28" s="581"/>
      <c r="N28" s="581"/>
      <c r="O28" s="581"/>
      <c r="P28" s="582"/>
      <c r="Q28" s="579"/>
      <c r="R28" s="581"/>
      <c r="S28" s="581"/>
      <c r="T28" s="582"/>
      <c r="U28" s="582"/>
      <c r="V28" s="582"/>
      <c r="W28" s="582"/>
      <c r="X28" s="583"/>
    </row>
    <row r="29" spans="1:24" ht="27.75" customHeight="1" hidden="1">
      <c r="A29" s="30">
        <v>16</v>
      </c>
      <c r="B29" s="1326" t="s">
        <v>513</v>
      </c>
      <c r="C29" s="1327"/>
      <c r="D29" s="581"/>
      <c r="E29" s="581"/>
      <c r="F29" s="581"/>
      <c r="G29" s="581"/>
      <c r="H29" s="581"/>
      <c r="I29" s="582"/>
      <c r="J29" s="579"/>
      <c r="K29" s="581"/>
      <c r="L29" s="581"/>
      <c r="M29" s="581"/>
      <c r="N29" s="581"/>
      <c r="O29" s="581"/>
      <c r="P29" s="582"/>
      <c r="Q29" s="579"/>
      <c r="R29" s="581"/>
      <c r="S29" s="581"/>
      <c r="T29" s="582"/>
      <c r="U29" s="582"/>
      <c r="V29" s="582"/>
      <c r="W29" s="582"/>
      <c r="X29" s="583"/>
    </row>
    <row r="30" spans="1:24" ht="27.75" customHeight="1">
      <c r="A30" s="30">
        <v>15</v>
      </c>
      <c r="B30" s="1326" t="s">
        <v>514</v>
      </c>
      <c r="C30" s="1327"/>
      <c r="D30" s="581"/>
      <c r="E30" s="581"/>
      <c r="F30" s="581"/>
      <c r="G30" s="581"/>
      <c r="H30" s="581"/>
      <c r="I30" s="582"/>
      <c r="J30" s="579"/>
      <c r="K30" s="581"/>
      <c r="L30" s="581"/>
      <c r="M30" s="581"/>
      <c r="N30" s="581"/>
      <c r="O30" s="581"/>
      <c r="P30" s="582"/>
      <c r="Q30" s="579"/>
      <c r="R30" s="581"/>
      <c r="S30" s="581"/>
      <c r="T30" s="582"/>
      <c r="U30" s="582"/>
      <c r="V30" s="582"/>
      <c r="W30" s="582"/>
      <c r="X30" s="583"/>
    </row>
    <row r="31" spans="1:24" ht="27.75" customHeight="1" hidden="1">
      <c r="A31" s="1019">
        <v>18</v>
      </c>
      <c r="B31" s="1326" t="s">
        <v>503</v>
      </c>
      <c r="C31" s="1331"/>
      <c r="D31" s="1020"/>
      <c r="E31" s="1020"/>
      <c r="F31" s="1020"/>
      <c r="G31" s="1020"/>
      <c r="H31" s="1020"/>
      <c r="I31" s="1021"/>
      <c r="J31" s="1022"/>
      <c r="K31" s="1020"/>
      <c r="L31" s="1020"/>
      <c r="M31" s="1020"/>
      <c r="N31" s="1020"/>
      <c r="O31" s="1020"/>
      <c r="P31" s="1021"/>
      <c r="Q31" s="1022"/>
      <c r="R31" s="1020"/>
      <c r="S31" s="1020"/>
      <c r="T31" s="1021"/>
      <c r="U31" s="1021"/>
      <c r="V31" s="1021"/>
      <c r="W31" s="1021"/>
      <c r="X31" s="1023"/>
    </row>
    <row r="32" spans="1:24" ht="27.75" customHeight="1" hidden="1">
      <c r="A32" s="1019">
        <v>19</v>
      </c>
      <c r="B32" s="1326" t="s">
        <v>489</v>
      </c>
      <c r="C32" s="1331"/>
      <c r="D32" s="1020"/>
      <c r="E32" s="1020"/>
      <c r="F32" s="1020"/>
      <c r="G32" s="1020"/>
      <c r="H32" s="1020"/>
      <c r="I32" s="1021"/>
      <c r="J32" s="1022"/>
      <c r="K32" s="1020"/>
      <c r="L32" s="1020"/>
      <c r="M32" s="1020"/>
      <c r="N32" s="1020"/>
      <c r="O32" s="1020"/>
      <c r="P32" s="1021"/>
      <c r="Q32" s="1022"/>
      <c r="R32" s="1020"/>
      <c r="S32" s="1020"/>
      <c r="T32" s="1021"/>
      <c r="U32" s="1021"/>
      <c r="V32" s="1021"/>
      <c r="W32" s="1021"/>
      <c r="X32" s="1023"/>
    </row>
    <row r="33" spans="1:24" ht="27.75" customHeight="1" hidden="1">
      <c r="A33" s="1019">
        <v>20</v>
      </c>
      <c r="B33" s="1326" t="s">
        <v>553</v>
      </c>
      <c r="C33" s="1331"/>
      <c r="D33" s="1020"/>
      <c r="E33" s="1020"/>
      <c r="F33" s="1020"/>
      <c r="G33" s="1020"/>
      <c r="H33" s="1020"/>
      <c r="I33" s="1021"/>
      <c r="J33" s="1022"/>
      <c r="K33" s="1020"/>
      <c r="L33" s="1020"/>
      <c r="M33" s="1020"/>
      <c r="N33" s="1020"/>
      <c r="O33" s="1020"/>
      <c r="P33" s="1021"/>
      <c r="Q33" s="1022"/>
      <c r="R33" s="1020"/>
      <c r="S33" s="1020"/>
      <c r="T33" s="1021"/>
      <c r="U33" s="1021"/>
      <c r="V33" s="1021"/>
      <c r="W33" s="1021"/>
      <c r="X33" s="1023"/>
    </row>
    <row r="34" spans="1:24" ht="27.75" customHeight="1" hidden="1">
      <c r="A34" s="1019">
        <v>21</v>
      </c>
      <c r="B34" s="1326" t="s">
        <v>554</v>
      </c>
      <c r="C34" s="1331"/>
      <c r="D34" s="1020"/>
      <c r="E34" s="1020"/>
      <c r="F34" s="1020"/>
      <c r="G34" s="1020"/>
      <c r="H34" s="1020"/>
      <c r="I34" s="1021"/>
      <c r="J34" s="1022"/>
      <c r="K34" s="1020"/>
      <c r="L34" s="1020"/>
      <c r="M34" s="1020"/>
      <c r="N34" s="1020"/>
      <c r="O34" s="1020"/>
      <c r="P34" s="1021"/>
      <c r="Q34" s="1022"/>
      <c r="R34" s="1020"/>
      <c r="S34" s="1020"/>
      <c r="T34" s="1021"/>
      <c r="U34" s="1021"/>
      <c r="V34" s="1021"/>
      <c r="W34" s="1021"/>
      <c r="X34" s="1023"/>
    </row>
    <row r="35" spans="1:24" ht="27.75" customHeight="1" hidden="1">
      <c r="A35" s="1019"/>
      <c r="B35" s="1326"/>
      <c r="C35" s="1331"/>
      <c r="D35" s="1020"/>
      <c r="E35" s="1020"/>
      <c r="F35" s="1020"/>
      <c r="G35" s="1020"/>
      <c r="H35" s="1020"/>
      <c r="I35" s="1021"/>
      <c r="J35" s="1022"/>
      <c r="K35" s="1020"/>
      <c r="L35" s="1020"/>
      <c r="M35" s="1020"/>
      <c r="N35" s="1020"/>
      <c r="O35" s="1020"/>
      <c r="P35" s="1021"/>
      <c r="Q35" s="1022"/>
      <c r="R35" s="1020"/>
      <c r="S35" s="1020"/>
      <c r="T35" s="1021"/>
      <c r="U35" s="1021"/>
      <c r="V35" s="1021"/>
      <c r="W35" s="1021"/>
      <c r="X35" s="1023"/>
    </row>
    <row r="36" spans="1:24" ht="27.75" customHeight="1" hidden="1">
      <c r="A36" s="1019"/>
      <c r="B36" s="1326"/>
      <c r="C36" s="1331"/>
      <c r="D36" s="1020"/>
      <c r="E36" s="1020"/>
      <c r="F36" s="1020"/>
      <c r="G36" s="1020"/>
      <c r="H36" s="1020"/>
      <c r="I36" s="1021"/>
      <c r="J36" s="1022"/>
      <c r="K36" s="1020"/>
      <c r="L36" s="1020"/>
      <c r="M36" s="1020"/>
      <c r="N36" s="1020"/>
      <c r="O36" s="1020"/>
      <c r="P36" s="1021"/>
      <c r="Q36" s="1022"/>
      <c r="R36" s="1020"/>
      <c r="S36" s="1020"/>
      <c r="T36" s="1021"/>
      <c r="U36" s="1021"/>
      <c r="V36" s="1021"/>
      <c r="W36" s="1021"/>
      <c r="X36" s="1023"/>
    </row>
    <row r="37" spans="1:24" ht="27.75" customHeight="1" thickBot="1">
      <c r="A37" s="584">
        <v>16</v>
      </c>
      <c r="B37" s="1328" t="s">
        <v>380</v>
      </c>
      <c r="C37" s="1329"/>
      <c r="D37" s="585">
        <v>1595117</v>
      </c>
      <c r="E37" s="585">
        <v>1595117</v>
      </c>
      <c r="F37" s="585"/>
      <c r="G37" s="585"/>
      <c r="H37" s="585"/>
      <c r="I37" s="586"/>
      <c r="J37" s="710"/>
      <c r="K37" s="585">
        <v>1595117</v>
      </c>
      <c r="L37" s="585">
        <v>1595117</v>
      </c>
      <c r="M37" s="585"/>
      <c r="N37" s="585"/>
      <c r="O37" s="585"/>
      <c r="P37" s="586"/>
      <c r="Q37" s="710"/>
      <c r="R37" s="585"/>
      <c r="S37" s="585"/>
      <c r="T37" s="586"/>
      <c r="U37" s="586"/>
      <c r="V37" s="586"/>
      <c r="W37" s="586"/>
      <c r="X37" s="587"/>
    </row>
    <row r="38" spans="1:24" ht="27.75" customHeight="1" thickBot="1">
      <c r="A38" s="584"/>
      <c r="B38" s="1328" t="s">
        <v>553</v>
      </c>
      <c r="C38" s="1329"/>
      <c r="D38" s="585"/>
      <c r="E38" s="585">
        <v>4360000</v>
      </c>
      <c r="F38" s="585"/>
      <c r="G38" s="585"/>
      <c r="H38" s="585"/>
      <c r="I38" s="586"/>
      <c r="J38" s="710"/>
      <c r="K38" s="585"/>
      <c r="L38" s="585">
        <v>4360000</v>
      </c>
      <c r="M38" s="585"/>
      <c r="N38" s="585"/>
      <c r="O38" s="585"/>
      <c r="P38" s="586"/>
      <c r="Q38" s="710"/>
      <c r="R38" s="585"/>
      <c r="S38" s="585"/>
      <c r="T38" s="586"/>
      <c r="U38" s="586"/>
      <c r="V38" s="586"/>
      <c r="W38" s="586"/>
      <c r="X38" s="587"/>
    </row>
    <row r="39" spans="1:24" ht="32.25" customHeight="1" thickBot="1">
      <c r="A39" s="588"/>
      <c r="B39" s="1330" t="s">
        <v>360</v>
      </c>
      <c r="C39" s="1330"/>
      <c r="D39" s="589">
        <f aca="true" t="shared" si="0" ref="D39:U39">SUM(D9:D37)</f>
        <v>72685991</v>
      </c>
      <c r="E39" s="589">
        <f>SUM(E9:E38)</f>
        <v>73355791</v>
      </c>
      <c r="F39" s="589">
        <f t="shared" si="0"/>
        <v>0</v>
      </c>
      <c r="G39" s="589">
        <f>SUM(G9:G37)</f>
        <v>0</v>
      </c>
      <c r="H39" s="589">
        <f>SUM(H9:H37)</f>
        <v>0</v>
      </c>
      <c r="I39" s="589">
        <f t="shared" si="0"/>
        <v>0</v>
      </c>
      <c r="J39" s="589">
        <f t="shared" si="0"/>
        <v>0</v>
      </c>
      <c r="K39" s="589">
        <f>SUM(K9:K37)</f>
        <v>57314812</v>
      </c>
      <c r="L39" s="589">
        <f>SUM(L9:L38)</f>
        <v>57984612</v>
      </c>
      <c r="M39" s="589">
        <f>SUM(M9:M37)</f>
        <v>0</v>
      </c>
      <c r="N39" s="589">
        <f>SUM(N9:N37)</f>
        <v>0</v>
      </c>
      <c r="O39" s="589">
        <f t="shared" si="0"/>
        <v>0</v>
      </c>
      <c r="P39" s="589">
        <f>SUM(P9:P37)</f>
        <v>0</v>
      </c>
      <c r="Q39" s="589">
        <f t="shared" si="0"/>
        <v>0</v>
      </c>
      <c r="R39" s="589">
        <f t="shared" si="0"/>
        <v>15371179</v>
      </c>
      <c r="S39" s="589">
        <f>SUM(S9:S37)</f>
        <v>15371179</v>
      </c>
      <c r="T39" s="589">
        <f t="shared" si="0"/>
        <v>0</v>
      </c>
      <c r="U39" s="589">
        <f t="shared" si="0"/>
        <v>0</v>
      </c>
      <c r="V39" s="590">
        <f>SUM(V9:V19)</f>
        <v>0</v>
      </c>
      <c r="W39" s="590">
        <f>SUM(W9:W19)</f>
        <v>0</v>
      </c>
      <c r="X39" s="591" t="e">
        <f>V39/U39</f>
        <v>#DIV/0!</v>
      </c>
    </row>
    <row r="40" spans="4:9" ht="12.75">
      <c r="D40" s="897" t="str">
        <f>IF(D39='4.sz.m.ÖNK kiadás'!E10," ","HIBA-nem egyenlő"=D20)</f>
        <v> </v>
      </c>
      <c r="E40" s="988"/>
      <c r="G40" s="988"/>
      <c r="I40" s="988"/>
    </row>
    <row r="41" spans="4:19" ht="12.75">
      <c r="D41" s="564"/>
      <c r="E41" s="564"/>
      <c r="F41" s="9"/>
      <c r="G41" s="9"/>
      <c r="H41" s="9"/>
      <c r="I41" s="564"/>
      <c r="J41" s="9"/>
      <c r="K41" s="9"/>
      <c r="L41" s="9"/>
      <c r="R41" s="9"/>
      <c r="S41" s="9"/>
    </row>
    <row r="42" spans="4:19" ht="12.75">
      <c r="D42" s="564"/>
      <c r="E42" s="9"/>
      <c r="F42" s="9"/>
      <c r="G42" s="9"/>
      <c r="H42" s="564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4:19" ht="12.75">
      <c r="D43" s="9"/>
      <c r="E43" s="9"/>
      <c r="F43" s="9"/>
      <c r="G43" s="9"/>
      <c r="H43" s="564"/>
      <c r="I43" s="564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4:19" ht="12.75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4:19" ht="12.75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4:19" ht="12.75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4:19" ht="12.75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4:19" ht="12.75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4:19" ht="12.75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4:19" ht="12.75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4:19" ht="12.75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4:19" ht="12.75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4:19" ht="12.75"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4:19" ht="12.75"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4:19" ht="12.75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4:19" ht="12.75"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</sheetData>
  <sheetProtection/>
  <mergeCells count="39">
    <mergeCell ref="B39:C39"/>
    <mergeCell ref="B32:C32"/>
    <mergeCell ref="B36:C36"/>
    <mergeCell ref="B33:C33"/>
    <mergeCell ref="B34:C34"/>
    <mergeCell ref="B31:C31"/>
    <mergeCell ref="B37:C37"/>
    <mergeCell ref="B35:C35"/>
    <mergeCell ref="B38:C38"/>
    <mergeCell ref="B30:C30"/>
    <mergeCell ref="B25:C25"/>
    <mergeCell ref="B21:C21"/>
    <mergeCell ref="B24:C24"/>
    <mergeCell ref="B22:C22"/>
    <mergeCell ref="B23:C23"/>
    <mergeCell ref="B27:C27"/>
    <mergeCell ref="B28:C28"/>
    <mergeCell ref="B29:C29"/>
    <mergeCell ref="B16:C16"/>
    <mergeCell ref="B17:C17"/>
    <mergeCell ref="B18:C18"/>
    <mergeCell ref="B19:C19"/>
    <mergeCell ref="B20:C20"/>
    <mergeCell ref="B26:C26"/>
    <mergeCell ref="B14:C14"/>
    <mergeCell ref="B9:C9"/>
    <mergeCell ref="B10:C10"/>
    <mergeCell ref="B11:C11"/>
    <mergeCell ref="B12:C12"/>
    <mergeCell ref="B13:C13"/>
    <mergeCell ref="K1:W1"/>
    <mergeCell ref="A3:R3"/>
    <mergeCell ref="A4:R4"/>
    <mergeCell ref="A5:R5"/>
    <mergeCell ref="B7:C7"/>
    <mergeCell ref="R6:W6"/>
    <mergeCell ref="D7:J7"/>
    <mergeCell ref="K7:Q7"/>
    <mergeCell ref="R7:X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70" zoomScaleNormal="70" workbookViewId="0" topLeftCell="A1">
      <selection activeCell="R3" sqref="R3"/>
    </sheetView>
  </sheetViews>
  <sheetFormatPr defaultColWidth="9.140625" defaultRowHeight="12.75"/>
  <cols>
    <col min="1" max="1" width="50.28125" style="11" customWidth="1"/>
    <col min="2" max="2" width="13.28125" style="11" customWidth="1"/>
    <col min="3" max="3" width="22.57421875" style="18" customWidth="1"/>
    <col min="4" max="4" width="17.00390625" style="18" customWidth="1"/>
    <col min="5" max="6" width="17.00390625" style="18" hidden="1" customWidth="1"/>
    <col min="7" max="7" width="18.00390625" style="18" hidden="1" customWidth="1"/>
    <col min="8" max="8" width="19.421875" style="18" hidden="1" customWidth="1"/>
    <col min="9" max="9" width="5.28125" style="18" hidden="1" customWidth="1"/>
    <col min="10" max="10" width="21.00390625" style="18" customWidth="1"/>
    <col min="11" max="11" width="17.00390625" style="18" customWidth="1"/>
    <col min="12" max="13" width="17.00390625" style="18" hidden="1" customWidth="1"/>
    <col min="14" max="14" width="21.421875" style="18" hidden="1" customWidth="1"/>
    <col min="15" max="15" width="17.28125" style="18" hidden="1" customWidth="1"/>
    <col min="16" max="16" width="2.7109375" style="18" hidden="1" customWidth="1"/>
    <col min="17" max="17" width="22.57421875" style="18" customWidth="1"/>
    <col min="18" max="18" width="17.28125" style="11" customWidth="1"/>
    <col min="19" max="19" width="17.421875" style="11" hidden="1" customWidth="1"/>
    <col min="20" max="20" width="18.28125" style="11" hidden="1" customWidth="1"/>
    <col min="21" max="21" width="18.421875" style="11" hidden="1" customWidth="1"/>
    <col min="22" max="22" width="14.421875" style="11" hidden="1" customWidth="1"/>
    <col min="23" max="23" width="16.140625" style="11" hidden="1" customWidth="1"/>
    <col min="24" max="24" width="17.7109375" style="11" customWidth="1"/>
    <col min="25" max="25" width="9.140625" style="11" customWidth="1"/>
    <col min="26" max="26" width="13.28125" style="11" bestFit="1" customWidth="1"/>
    <col min="27" max="27" width="15.57421875" style="11" bestFit="1" customWidth="1"/>
    <col min="28" max="16384" width="9.140625" style="11" customWidth="1"/>
  </cols>
  <sheetData>
    <row r="1" spans="10:21" ht="24.75" customHeight="1">
      <c r="J1" s="1332" t="s">
        <v>621</v>
      </c>
      <c r="K1" s="1332"/>
      <c r="L1" s="1332"/>
      <c r="M1" s="1332"/>
      <c r="N1" s="1332"/>
      <c r="O1" s="1332"/>
      <c r="P1" s="1332"/>
      <c r="Q1" s="1332"/>
      <c r="R1" s="1332"/>
      <c r="S1" s="1332"/>
      <c r="T1" s="1332"/>
      <c r="U1" s="1332"/>
    </row>
    <row r="2" spans="10:21" ht="24.75" customHeight="1">
      <c r="J2" s="1189"/>
      <c r="K2" s="1189"/>
      <c r="L2" s="1189"/>
      <c r="M2" s="1189"/>
      <c r="N2" s="1189"/>
      <c r="O2" s="1189"/>
      <c r="P2" s="1189"/>
      <c r="Q2" s="1189"/>
      <c r="R2" s="1189" t="s">
        <v>624</v>
      </c>
      <c r="S2" s="1189"/>
      <c r="T2" s="1189"/>
      <c r="U2" s="1189"/>
    </row>
    <row r="3" spans="1:17" ht="37.5" customHeight="1">
      <c r="A3" s="1333" t="s">
        <v>361</v>
      </c>
      <c r="B3" s="1333"/>
      <c r="C3" s="1334"/>
      <c r="D3" s="1334"/>
      <c r="E3" s="1334"/>
      <c r="F3" s="1334"/>
      <c r="G3" s="1334"/>
      <c r="H3" s="1334"/>
      <c r="I3" s="1334"/>
      <c r="J3" s="1334"/>
      <c r="K3" s="1334"/>
      <c r="L3" s="1334"/>
      <c r="M3" s="1334"/>
      <c r="N3" s="1334"/>
      <c r="O3" s="1334"/>
      <c r="P3" s="1334"/>
      <c r="Q3" s="1334"/>
    </row>
    <row r="4" spans="1:17" ht="18.75" customHeight="1">
      <c r="A4" s="1335" t="s">
        <v>575</v>
      </c>
      <c r="B4" s="1335"/>
      <c r="C4" s="1335"/>
      <c r="D4" s="1335"/>
      <c r="E4" s="1335"/>
      <c r="F4" s="1335"/>
      <c r="G4" s="1335"/>
      <c r="H4" s="1335"/>
      <c r="I4" s="1335"/>
      <c r="J4" s="1335"/>
      <c r="K4" s="1335"/>
      <c r="L4" s="1335"/>
      <c r="M4" s="1335"/>
      <c r="N4" s="1335"/>
      <c r="O4" s="1335"/>
      <c r="P4" s="1335"/>
      <c r="Q4" s="1335"/>
    </row>
    <row r="5" spans="1:17" ht="15.75">
      <c r="A5" s="1336" t="s">
        <v>362</v>
      </c>
      <c r="B5" s="1336"/>
      <c r="C5" s="1336"/>
      <c r="D5" s="1336"/>
      <c r="E5" s="1336"/>
      <c r="F5" s="1336"/>
      <c r="G5" s="1336"/>
      <c r="H5" s="1336"/>
      <c r="I5" s="1336"/>
      <c r="J5" s="1336"/>
      <c r="K5" s="1336"/>
      <c r="L5" s="1336"/>
      <c r="M5" s="1336"/>
      <c r="N5" s="1336"/>
      <c r="O5" s="1336"/>
      <c r="P5" s="1336"/>
      <c r="Q5" s="1336"/>
    </row>
    <row r="6" spans="1:17" ht="19.5" thickBot="1">
      <c r="A6" s="593"/>
      <c r="B6" s="593"/>
      <c r="Q6" s="592" t="s">
        <v>429</v>
      </c>
    </row>
    <row r="7" spans="1:24" ht="19.5" customHeight="1">
      <c r="A7" s="1337" t="s">
        <v>471</v>
      </c>
      <c r="B7" s="1340" t="s">
        <v>364</v>
      </c>
      <c r="C7" s="1343" t="s">
        <v>4</v>
      </c>
      <c r="D7" s="1344"/>
      <c r="E7" s="1344"/>
      <c r="F7" s="1344"/>
      <c r="G7" s="1344"/>
      <c r="H7" s="1344"/>
      <c r="I7" s="1345"/>
      <c r="J7" s="1343" t="s">
        <v>365</v>
      </c>
      <c r="K7" s="1344"/>
      <c r="L7" s="1344"/>
      <c r="M7" s="1344"/>
      <c r="N7" s="1344"/>
      <c r="O7" s="1344"/>
      <c r="P7" s="1345"/>
      <c r="Q7" s="1343" t="s">
        <v>25</v>
      </c>
      <c r="R7" s="1344"/>
      <c r="S7" s="1344"/>
      <c r="T7" s="1344"/>
      <c r="U7" s="1344"/>
      <c r="V7" s="1344"/>
      <c r="W7" s="1352"/>
      <c r="X7" s="594"/>
    </row>
    <row r="8" spans="1:24" ht="12.75" customHeight="1">
      <c r="A8" s="1338"/>
      <c r="B8" s="1341"/>
      <c r="C8" s="1346"/>
      <c r="D8" s="1347"/>
      <c r="E8" s="1347"/>
      <c r="F8" s="1347"/>
      <c r="G8" s="1347"/>
      <c r="H8" s="1347"/>
      <c r="I8" s="1348"/>
      <c r="J8" s="1346"/>
      <c r="K8" s="1347"/>
      <c r="L8" s="1347"/>
      <c r="M8" s="1347"/>
      <c r="N8" s="1347"/>
      <c r="O8" s="1347"/>
      <c r="P8" s="1348"/>
      <c r="Q8" s="1346"/>
      <c r="R8" s="1347"/>
      <c r="S8" s="1347"/>
      <c r="T8" s="1347"/>
      <c r="U8" s="1347"/>
      <c r="V8" s="1347"/>
      <c r="W8" s="1353"/>
      <c r="X8" s="596"/>
    </row>
    <row r="9" spans="1:24" ht="20.25" customHeight="1" thickBot="1">
      <c r="A9" s="1339"/>
      <c r="B9" s="1342"/>
      <c r="C9" s="1349"/>
      <c r="D9" s="1350"/>
      <c r="E9" s="1350"/>
      <c r="F9" s="1350"/>
      <c r="G9" s="1350"/>
      <c r="H9" s="1350"/>
      <c r="I9" s="1351"/>
      <c r="J9" s="1349"/>
      <c r="K9" s="1350"/>
      <c r="L9" s="1350"/>
      <c r="M9" s="1350"/>
      <c r="N9" s="1350"/>
      <c r="O9" s="1350"/>
      <c r="P9" s="1351"/>
      <c r="Q9" s="1349"/>
      <c r="R9" s="1350"/>
      <c r="S9" s="1350"/>
      <c r="T9" s="1350"/>
      <c r="U9" s="1350"/>
      <c r="V9" s="1350"/>
      <c r="W9" s="1354"/>
      <c r="X9" s="596"/>
    </row>
    <row r="10" spans="1:24" ht="113.25" thickTop="1">
      <c r="A10" s="597"/>
      <c r="B10" s="595"/>
      <c r="C10" s="598" t="s">
        <v>62</v>
      </c>
      <c r="D10" s="598" t="s">
        <v>215</v>
      </c>
      <c r="E10" s="598" t="s">
        <v>218</v>
      </c>
      <c r="F10" s="598" t="s">
        <v>220</v>
      </c>
      <c r="G10" s="599" t="s">
        <v>223</v>
      </c>
      <c r="H10" s="599" t="s">
        <v>237</v>
      </c>
      <c r="I10" s="599" t="s">
        <v>224</v>
      </c>
      <c r="J10" s="598" t="s">
        <v>62</v>
      </c>
      <c r="K10" s="598" t="s">
        <v>215</v>
      </c>
      <c r="L10" s="598" t="s">
        <v>218</v>
      </c>
      <c r="M10" s="598" t="s">
        <v>220</v>
      </c>
      <c r="N10" s="599" t="s">
        <v>232</v>
      </c>
      <c r="O10" s="599" t="s">
        <v>237</v>
      </c>
      <c r="P10" s="599" t="s">
        <v>224</v>
      </c>
      <c r="Q10" s="598" t="s">
        <v>62</v>
      </c>
      <c r="R10" s="598" t="s">
        <v>215</v>
      </c>
      <c r="S10" s="598" t="s">
        <v>218</v>
      </c>
      <c r="T10" s="598" t="s">
        <v>220</v>
      </c>
      <c r="U10" s="599" t="s">
        <v>232</v>
      </c>
      <c r="V10" s="599" t="s">
        <v>237</v>
      </c>
      <c r="W10" s="600" t="s">
        <v>224</v>
      </c>
      <c r="X10" s="596"/>
    </row>
    <row r="11" spans="1:24" ht="27" customHeight="1">
      <c r="A11" s="601" t="s">
        <v>472</v>
      </c>
      <c r="B11" s="602" t="s">
        <v>201</v>
      </c>
      <c r="C11" s="603">
        <v>100000</v>
      </c>
      <c r="D11" s="603">
        <v>100000</v>
      </c>
      <c r="E11" s="603"/>
      <c r="F11" s="603"/>
      <c r="G11" s="603">
        <v>0</v>
      </c>
      <c r="H11" s="603"/>
      <c r="I11" s="605"/>
      <c r="J11" s="603"/>
      <c r="K11" s="603"/>
      <c r="L11" s="603"/>
      <c r="M11" s="603"/>
      <c r="N11" s="604"/>
      <c r="O11" s="603"/>
      <c r="P11" s="605"/>
      <c r="Q11" s="603">
        <v>100000</v>
      </c>
      <c r="R11" s="603">
        <v>100000</v>
      </c>
      <c r="S11" s="603">
        <f>E11-L11</f>
        <v>0</v>
      </c>
      <c r="T11" s="603">
        <f>F11-M11</f>
        <v>0</v>
      </c>
      <c r="U11" s="603">
        <f>G11-N11</f>
        <v>0</v>
      </c>
      <c r="V11" s="603"/>
      <c r="W11" s="605" t="e">
        <f aca="true" t="shared" si="0" ref="W11:W16">U11/T11</f>
        <v>#DIV/0!</v>
      </c>
      <c r="X11" s="596"/>
    </row>
    <row r="12" spans="1:24" ht="27.75" customHeight="1">
      <c r="A12" s="601" t="s">
        <v>473</v>
      </c>
      <c r="B12" s="602" t="s">
        <v>201</v>
      </c>
      <c r="C12" s="603">
        <v>500000</v>
      </c>
      <c r="D12" s="603">
        <v>500000</v>
      </c>
      <c r="E12" s="603"/>
      <c r="F12" s="603"/>
      <c r="G12" s="603">
        <v>360000</v>
      </c>
      <c r="H12" s="603"/>
      <c r="I12" s="605"/>
      <c r="J12" s="603"/>
      <c r="K12" s="603"/>
      <c r="L12" s="603"/>
      <c r="M12" s="603"/>
      <c r="N12" s="603"/>
      <c r="O12" s="603"/>
      <c r="P12" s="605"/>
      <c r="Q12" s="603">
        <v>500000</v>
      </c>
      <c r="R12" s="603">
        <v>500000</v>
      </c>
      <c r="S12" s="603">
        <f aca="true" t="shared" si="1" ref="S12:U18">E12-L12</f>
        <v>0</v>
      </c>
      <c r="T12" s="603">
        <f t="shared" si="1"/>
        <v>0</v>
      </c>
      <c r="U12" s="603">
        <f t="shared" si="1"/>
        <v>360000</v>
      </c>
      <c r="V12" s="603"/>
      <c r="W12" s="605" t="e">
        <f t="shared" si="0"/>
        <v>#DIV/0!</v>
      </c>
      <c r="X12" s="596"/>
    </row>
    <row r="13" spans="1:24" ht="27" customHeight="1" hidden="1">
      <c r="A13" s="601" t="s">
        <v>366</v>
      </c>
      <c r="B13" s="602" t="s">
        <v>200</v>
      </c>
      <c r="C13" s="603"/>
      <c r="D13" s="603"/>
      <c r="E13" s="603"/>
      <c r="F13" s="603"/>
      <c r="G13" s="603"/>
      <c r="H13" s="603"/>
      <c r="I13" s="605"/>
      <c r="J13" s="603"/>
      <c r="K13" s="603"/>
      <c r="L13" s="603"/>
      <c r="M13" s="603"/>
      <c r="N13" s="603"/>
      <c r="O13" s="603"/>
      <c r="P13" s="606"/>
      <c r="Q13" s="603"/>
      <c r="R13" s="603"/>
      <c r="S13" s="603">
        <f t="shared" si="1"/>
        <v>0</v>
      </c>
      <c r="T13" s="603">
        <f t="shared" si="1"/>
        <v>0</v>
      </c>
      <c r="U13" s="603">
        <f t="shared" si="1"/>
        <v>0</v>
      </c>
      <c r="V13" s="603"/>
      <c r="W13" s="605" t="e">
        <f t="shared" si="0"/>
        <v>#DIV/0!</v>
      </c>
      <c r="X13" s="596"/>
    </row>
    <row r="14" spans="1:26" ht="28.5" customHeight="1">
      <c r="A14" s="601" t="s">
        <v>474</v>
      </c>
      <c r="B14" s="602" t="s">
        <v>201</v>
      </c>
      <c r="C14" s="603">
        <f>150000+500000+500000</f>
        <v>1150000</v>
      </c>
      <c r="D14" s="603">
        <f>150000+500000+500000</f>
        <v>1150000</v>
      </c>
      <c r="E14" s="603"/>
      <c r="F14" s="603"/>
      <c r="G14" s="603">
        <v>940000</v>
      </c>
      <c r="H14" s="603"/>
      <c r="I14" s="605"/>
      <c r="J14" s="603"/>
      <c r="K14" s="603"/>
      <c r="L14" s="603"/>
      <c r="M14" s="603"/>
      <c r="N14" s="603"/>
      <c r="O14" s="603"/>
      <c r="P14" s="606"/>
      <c r="Q14" s="603">
        <f>150000+500000+500000</f>
        <v>1150000</v>
      </c>
      <c r="R14" s="603">
        <f>150000+500000+500000</f>
        <v>1150000</v>
      </c>
      <c r="S14" s="603">
        <f t="shared" si="1"/>
        <v>0</v>
      </c>
      <c r="T14" s="603">
        <f t="shared" si="1"/>
        <v>0</v>
      </c>
      <c r="U14" s="603">
        <f t="shared" si="1"/>
        <v>940000</v>
      </c>
      <c r="V14" s="603"/>
      <c r="W14" s="605" t="e">
        <f t="shared" si="0"/>
        <v>#DIV/0!</v>
      </c>
      <c r="X14" s="596"/>
      <c r="Z14" s="18"/>
    </row>
    <row r="15" spans="1:24" ht="32.25" customHeight="1" thickBot="1">
      <c r="A15" s="601" t="s">
        <v>475</v>
      </c>
      <c r="B15" s="602" t="s">
        <v>201</v>
      </c>
      <c r="C15" s="603">
        <v>500000</v>
      </c>
      <c r="D15" s="603">
        <v>500000</v>
      </c>
      <c r="E15" s="603"/>
      <c r="F15" s="603"/>
      <c r="G15" s="603">
        <f>19700+173988+17000+16765+24000-251453</f>
        <v>0</v>
      </c>
      <c r="H15" s="603"/>
      <c r="I15" s="605"/>
      <c r="J15" s="603"/>
      <c r="K15" s="603"/>
      <c r="L15" s="603"/>
      <c r="M15" s="603"/>
      <c r="N15" s="603"/>
      <c r="O15" s="603"/>
      <c r="P15" s="606"/>
      <c r="Q15" s="603">
        <v>500000</v>
      </c>
      <c r="R15" s="603">
        <v>500000</v>
      </c>
      <c r="S15" s="603">
        <f t="shared" si="1"/>
        <v>0</v>
      </c>
      <c r="T15" s="603">
        <f t="shared" si="1"/>
        <v>0</v>
      </c>
      <c r="U15" s="603">
        <f t="shared" si="1"/>
        <v>0</v>
      </c>
      <c r="V15" s="603"/>
      <c r="W15" s="605" t="e">
        <f t="shared" si="0"/>
        <v>#DIV/0!</v>
      </c>
      <c r="X15" s="596"/>
    </row>
    <row r="16" spans="1:24" ht="33" customHeight="1" hidden="1">
      <c r="A16" s="601" t="s">
        <v>476</v>
      </c>
      <c r="B16" s="602" t="s">
        <v>200</v>
      </c>
      <c r="C16" s="608"/>
      <c r="D16" s="608"/>
      <c r="E16" s="608"/>
      <c r="F16" s="608"/>
      <c r="G16" s="608"/>
      <c r="H16" s="608"/>
      <c r="I16" s="605"/>
      <c r="J16" s="608"/>
      <c r="K16" s="608"/>
      <c r="L16" s="608"/>
      <c r="M16" s="608"/>
      <c r="N16" s="608"/>
      <c r="O16" s="608"/>
      <c r="P16" s="606"/>
      <c r="Q16" s="603"/>
      <c r="R16" s="608"/>
      <c r="S16" s="603">
        <f t="shared" si="1"/>
        <v>0</v>
      </c>
      <c r="T16" s="603">
        <f t="shared" si="1"/>
        <v>0</v>
      </c>
      <c r="U16" s="603">
        <f t="shared" si="1"/>
        <v>0</v>
      </c>
      <c r="V16" s="608"/>
      <c r="W16" s="605" t="e">
        <f t="shared" si="0"/>
        <v>#DIV/0!</v>
      </c>
      <c r="X16" s="596"/>
    </row>
    <row r="17" spans="1:24" ht="33" customHeight="1" hidden="1">
      <c r="A17" s="601" t="s">
        <v>477</v>
      </c>
      <c r="B17" s="602" t="s">
        <v>201</v>
      </c>
      <c r="C17" s="608"/>
      <c r="D17" s="608"/>
      <c r="E17" s="608"/>
      <c r="F17" s="608"/>
      <c r="G17" s="608"/>
      <c r="H17" s="608"/>
      <c r="I17" s="606"/>
      <c r="J17" s="608"/>
      <c r="K17" s="608"/>
      <c r="L17" s="608"/>
      <c r="M17" s="608"/>
      <c r="N17" s="608"/>
      <c r="O17" s="608"/>
      <c r="P17" s="606"/>
      <c r="Q17" s="603"/>
      <c r="R17" s="608"/>
      <c r="S17" s="603">
        <f t="shared" si="1"/>
        <v>0</v>
      </c>
      <c r="T17" s="603">
        <f t="shared" si="1"/>
        <v>0</v>
      </c>
      <c r="U17" s="603">
        <f t="shared" si="1"/>
        <v>0</v>
      </c>
      <c r="V17" s="608"/>
      <c r="W17" s="770"/>
      <c r="X17" s="596"/>
    </row>
    <row r="18" spans="1:24" ht="33" customHeight="1" hidden="1" thickBot="1">
      <c r="A18" s="787" t="s">
        <v>420</v>
      </c>
      <c r="B18" s="788" t="s">
        <v>201</v>
      </c>
      <c r="C18" s="789"/>
      <c r="D18" s="789"/>
      <c r="E18" s="789"/>
      <c r="F18" s="789"/>
      <c r="G18" s="789">
        <v>314000</v>
      </c>
      <c r="H18" s="789"/>
      <c r="I18" s="790"/>
      <c r="J18" s="789"/>
      <c r="K18" s="789"/>
      <c r="L18" s="789"/>
      <c r="M18" s="789"/>
      <c r="N18" s="789"/>
      <c r="O18" s="789"/>
      <c r="P18" s="790"/>
      <c r="Q18" s="608"/>
      <c r="R18" s="789"/>
      <c r="S18" s="603">
        <f t="shared" si="1"/>
        <v>0</v>
      </c>
      <c r="T18" s="608"/>
      <c r="U18" s="608"/>
      <c r="V18" s="789"/>
      <c r="W18" s="770"/>
      <c r="X18" s="596"/>
    </row>
    <row r="19" spans="1:24" ht="33" customHeight="1" hidden="1" thickTop="1">
      <c r="A19" s="601" t="s">
        <v>430</v>
      </c>
      <c r="B19" s="602" t="s">
        <v>201</v>
      </c>
      <c r="C19" s="608"/>
      <c r="D19" s="608"/>
      <c r="E19" s="608"/>
      <c r="F19" s="608"/>
      <c r="G19" s="608"/>
      <c r="H19" s="608"/>
      <c r="I19" s="606"/>
      <c r="J19" s="608"/>
      <c r="K19" s="608"/>
      <c r="L19" s="608"/>
      <c r="M19" s="608"/>
      <c r="N19" s="608"/>
      <c r="O19" s="608"/>
      <c r="P19" s="606"/>
      <c r="Q19" s="608"/>
      <c r="R19" s="608"/>
      <c r="S19" s="608"/>
      <c r="T19" s="608"/>
      <c r="U19" s="608"/>
      <c r="V19" s="608"/>
      <c r="W19" s="770"/>
      <c r="X19" s="792"/>
    </row>
    <row r="20" spans="1:24" ht="33" customHeight="1" hidden="1">
      <c r="A20" s="865" t="s">
        <v>420</v>
      </c>
      <c r="B20" s="866" t="s">
        <v>201</v>
      </c>
      <c r="C20" s="867"/>
      <c r="D20" s="867"/>
      <c r="E20" s="867"/>
      <c r="F20" s="867"/>
      <c r="G20" s="867"/>
      <c r="H20" s="867"/>
      <c r="I20" s="868"/>
      <c r="J20" s="867"/>
      <c r="K20" s="867"/>
      <c r="L20" s="867"/>
      <c r="M20" s="867"/>
      <c r="N20" s="867"/>
      <c r="O20" s="867"/>
      <c r="P20" s="868"/>
      <c r="Q20" s="867"/>
      <c r="R20" s="867"/>
      <c r="S20" s="867"/>
      <c r="T20" s="867"/>
      <c r="U20" s="867"/>
      <c r="V20" s="867"/>
      <c r="W20" s="770"/>
      <c r="X20" s="792"/>
    </row>
    <row r="21" spans="1:24" ht="33" customHeight="1" hidden="1" thickBot="1">
      <c r="A21" s="787" t="s">
        <v>505</v>
      </c>
      <c r="B21" s="788" t="s">
        <v>201</v>
      </c>
      <c r="C21" s="789"/>
      <c r="D21" s="789"/>
      <c r="E21" s="789"/>
      <c r="F21" s="789"/>
      <c r="G21" s="789"/>
      <c r="H21" s="789"/>
      <c r="I21" s="790"/>
      <c r="J21" s="789"/>
      <c r="K21" s="789"/>
      <c r="L21" s="789"/>
      <c r="M21" s="789"/>
      <c r="N21" s="789"/>
      <c r="O21" s="789"/>
      <c r="P21" s="790"/>
      <c r="Q21" s="789"/>
      <c r="R21" s="789"/>
      <c r="S21" s="789"/>
      <c r="T21" s="789"/>
      <c r="U21" s="789"/>
      <c r="V21" s="789"/>
      <c r="W21" s="770"/>
      <c r="X21" s="792"/>
    </row>
    <row r="22" spans="1:24" ht="39" customHeight="1" thickBot="1" thickTop="1">
      <c r="A22" s="609" t="s">
        <v>20</v>
      </c>
      <c r="B22" s="610"/>
      <c r="C22" s="611">
        <f aca="true" t="shared" si="2" ref="C22:H22">SUM(C11:C19)</f>
        <v>2250000</v>
      </c>
      <c r="D22" s="611">
        <f>SUM(D11:D19)</f>
        <v>2250000</v>
      </c>
      <c r="E22" s="611">
        <f>SUM(E11:E19)</f>
        <v>0</v>
      </c>
      <c r="F22" s="611">
        <f t="shared" si="2"/>
        <v>0</v>
      </c>
      <c r="G22" s="611">
        <f t="shared" si="2"/>
        <v>1614000</v>
      </c>
      <c r="H22" s="611">
        <f t="shared" si="2"/>
        <v>0</v>
      </c>
      <c r="I22" s="611">
        <f aca="true" t="shared" si="3" ref="I22:N22">SUM(I11:I19)</f>
        <v>0</v>
      </c>
      <c r="J22" s="611">
        <f t="shared" si="3"/>
        <v>0</v>
      </c>
      <c r="K22" s="611">
        <f>SUM(K11:K19)</f>
        <v>0</v>
      </c>
      <c r="L22" s="611">
        <f>SUM(L11:L19)</f>
        <v>0</v>
      </c>
      <c r="M22" s="611">
        <f>SUM(M11:M19)</f>
        <v>0</v>
      </c>
      <c r="N22" s="611">
        <f t="shared" si="3"/>
        <v>0</v>
      </c>
      <c r="O22" s="611">
        <f>SUM(O11:P21)</f>
        <v>0</v>
      </c>
      <c r="P22" s="611">
        <f aca="true" t="shared" si="4" ref="P22:U22">SUM(P11:P19)</f>
        <v>0</v>
      </c>
      <c r="Q22" s="611">
        <f t="shared" si="4"/>
        <v>2250000</v>
      </c>
      <c r="R22" s="611">
        <f t="shared" si="4"/>
        <v>2250000</v>
      </c>
      <c r="S22" s="611">
        <f t="shared" si="4"/>
        <v>0</v>
      </c>
      <c r="T22" s="611">
        <f t="shared" si="4"/>
        <v>0</v>
      </c>
      <c r="U22" s="611">
        <f t="shared" si="4"/>
        <v>1300000</v>
      </c>
      <c r="V22" s="611">
        <f>SUM(V11:V21)</f>
        <v>0</v>
      </c>
      <c r="W22" s="612">
        <f>U22/R22</f>
        <v>0.5777777777777777</v>
      </c>
      <c r="X22" s="792"/>
    </row>
    <row r="23" spans="1:24" ht="19.5" customHeight="1">
      <c r="A23" s="613"/>
      <c r="B23" s="613"/>
      <c r="C23" s="614"/>
      <c r="D23" s="614"/>
      <c r="E23" s="614"/>
      <c r="F23" s="614"/>
      <c r="G23" s="614"/>
      <c r="H23" s="614"/>
      <c r="I23" s="614"/>
      <c r="J23" s="614"/>
      <c r="K23" s="614"/>
      <c r="L23" s="614"/>
      <c r="M23" s="614"/>
      <c r="N23" s="614"/>
      <c r="O23" s="614"/>
      <c r="P23" s="614"/>
      <c r="Q23" s="614"/>
      <c r="V23" s="18"/>
      <c r="X23" s="615"/>
    </row>
    <row r="24" spans="1:17" ht="66" customHeight="1" hidden="1" thickBot="1">
      <c r="A24" s="1355" t="s">
        <v>367</v>
      </c>
      <c r="B24" s="1355"/>
      <c r="C24" s="1355"/>
      <c r="D24" s="1355"/>
      <c r="E24" s="1355"/>
      <c r="F24" s="1355"/>
      <c r="G24" s="1355"/>
      <c r="H24" s="1355"/>
      <c r="I24" s="1355"/>
      <c r="J24" s="1355"/>
      <c r="K24" s="1355"/>
      <c r="L24" s="1355"/>
      <c r="M24" s="1355"/>
      <c r="N24" s="1355"/>
      <c r="O24" s="1355"/>
      <c r="P24" s="1355"/>
      <c r="Q24" s="1355"/>
    </row>
    <row r="25" spans="1:24" ht="19.5" customHeight="1" hidden="1">
      <c r="A25" s="1337" t="s">
        <v>363</v>
      </c>
      <c r="B25" s="1340" t="s">
        <v>364</v>
      </c>
      <c r="C25" s="1343" t="s">
        <v>4</v>
      </c>
      <c r="D25" s="1344"/>
      <c r="E25" s="1344"/>
      <c r="F25" s="1344"/>
      <c r="G25" s="1344"/>
      <c r="H25" s="1344"/>
      <c r="I25" s="1345"/>
      <c r="J25" s="1343" t="s">
        <v>365</v>
      </c>
      <c r="K25" s="1344"/>
      <c r="L25" s="1344"/>
      <c r="M25" s="1344"/>
      <c r="N25" s="1344"/>
      <c r="O25" s="1344"/>
      <c r="P25" s="1345"/>
      <c r="Q25" s="1343" t="s">
        <v>25</v>
      </c>
      <c r="R25" s="1344"/>
      <c r="S25" s="1344"/>
      <c r="T25" s="1344"/>
      <c r="U25" s="1344"/>
      <c r="V25" s="1344"/>
      <c r="W25" s="1352"/>
      <c r="X25" s="596"/>
    </row>
    <row r="26" spans="1:24" s="617" customFormat="1" ht="19.5" customHeight="1" hidden="1">
      <c r="A26" s="1338"/>
      <c r="B26" s="1341"/>
      <c r="C26" s="1346"/>
      <c r="D26" s="1347"/>
      <c r="E26" s="1347"/>
      <c r="F26" s="1347"/>
      <c r="G26" s="1347"/>
      <c r="H26" s="1347"/>
      <c r="I26" s="1348"/>
      <c r="J26" s="1346"/>
      <c r="K26" s="1347"/>
      <c r="L26" s="1347"/>
      <c r="M26" s="1347"/>
      <c r="N26" s="1347"/>
      <c r="O26" s="1347"/>
      <c r="P26" s="1348"/>
      <c r="Q26" s="1346"/>
      <c r="R26" s="1347"/>
      <c r="S26" s="1347"/>
      <c r="T26" s="1347"/>
      <c r="U26" s="1347"/>
      <c r="V26" s="1347"/>
      <c r="W26" s="1353"/>
      <c r="X26" s="616"/>
    </row>
    <row r="27" spans="1:24" s="617" customFormat="1" ht="19.5" customHeight="1" hidden="1" thickBot="1">
      <c r="A27" s="1339"/>
      <c r="B27" s="1342"/>
      <c r="C27" s="1349"/>
      <c r="D27" s="1350"/>
      <c r="E27" s="1350"/>
      <c r="F27" s="1350"/>
      <c r="G27" s="1350"/>
      <c r="H27" s="1350"/>
      <c r="I27" s="1351"/>
      <c r="J27" s="1349"/>
      <c r="K27" s="1350"/>
      <c r="L27" s="1350"/>
      <c r="M27" s="1350"/>
      <c r="N27" s="1350"/>
      <c r="O27" s="1350"/>
      <c r="P27" s="1351"/>
      <c r="Q27" s="1349"/>
      <c r="R27" s="1350"/>
      <c r="S27" s="1350"/>
      <c r="T27" s="1350"/>
      <c r="U27" s="1350"/>
      <c r="V27" s="1350"/>
      <c r="W27" s="1354"/>
      <c r="X27" s="616"/>
    </row>
    <row r="28" spans="1:24" s="617" customFormat="1" ht="57.75" customHeight="1" hidden="1" thickTop="1">
      <c r="A28" s="618"/>
      <c r="B28" s="619"/>
      <c r="C28" s="599" t="s">
        <v>62</v>
      </c>
      <c r="D28" s="599" t="s">
        <v>215</v>
      </c>
      <c r="E28" s="599" t="s">
        <v>218</v>
      </c>
      <c r="F28" s="598" t="s">
        <v>220</v>
      </c>
      <c r="G28" s="599" t="s">
        <v>232</v>
      </c>
      <c r="H28" s="599" t="s">
        <v>237</v>
      </c>
      <c r="I28" s="599" t="s">
        <v>224</v>
      </c>
      <c r="J28" s="599" t="s">
        <v>62</v>
      </c>
      <c r="K28" s="599" t="s">
        <v>215</v>
      </c>
      <c r="L28" s="599" t="s">
        <v>218</v>
      </c>
      <c r="M28" s="598" t="s">
        <v>220</v>
      </c>
      <c r="N28" s="599" t="s">
        <v>232</v>
      </c>
      <c r="O28" s="599" t="s">
        <v>237</v>
      </c>
      <c r="P28" s="599" t="s">
        <v>224</v>
      </c>
      <c r="Q28" s="599" t="s">
        <v>62</v>
      </c>
      <c r="R28" s="599" t="s">
        <v>215</v>
      </c>
      <c r="S28" s="599" t="s">
        <v>218</v>
      </c>
      <c r="T28" s="599" t="s">
        <v>220</v>
      </c>
      <c r="U28" s="599" t="s">
        <v>232</v>
      </c>
      <c r="V28" s="599" t="s">
        <v>237</v>
      </c>
      <c r="W28" s="600" t="s">
        <v>224</v>
      </c>
      <c r="X28" s="616"/>
    </row>
    <row r="29" spans="1:24" s="617" customFormat="1" ht="34.5" customHeight="1" hidden="1">
      <c r="A29" s="620" t="s">
        <v>493</v>
      </c>
      <c r="B29" s="621" t="s">
        <v>201</v>
      </c>
      <c r="C29" s="623"/>
      <c r="D29" s="623"/>
      <c r="E29" s="623"/>
      <c r="F29" s="623"/>
      <c r="G29" s="623">
        <v>211000</v>
      </c>
      <c r="H29" s="623">
        <v>392000</v>
      </c>
      <c r="I29" s="605"/>
      <c r="J29" s="623"/>
      <c r="K29" s="623"/>
      <c r="L29" s="623"/>
      <c r="M29" s="623"/>
      <c r="N29" s="623">
        <v>211000</v>
      </c>
      <c r="O29" s="623">
        <v>392000</v>
      </c>
      <c r="P29" s="605"/>
      <c r="Q29" s="623"/>
      <c r="R29" s="623"/>
      <c r="S29" s="623"/>
      <c r="T29" s="623"/>
      <c r="U29" s="622"/>
      <c r="V29" s="622"/>
      <c r="W29" s="605" t="e">
        <f>U29/R29</f>
        <v>#DIV/0!</v>
      </c>
      <c r="X29" s="616"/>
    </row>
    <row r="30" spans="1:24" s="617" customFormat="1" ht="15" hidden="1">
      <c r="A30" s="624" t="s">
        <v>368</v>
      </c>
      <c r="B30" s="625" t="s">
        <v>201</v>
      </c>
      <c r="C30" s="623"/>
      <c r="D30" s="623"/>
      <c r="E30" s="623"/>
      <c r="F30" s="623"/>
      <c r="G30" s="623"/>
      <c r="H30" s="623"/>
      <c r="I30" s="605"/>
      <c r="J30" s="623"/>
      <c r="K30" s="623"/>
      <c r="L30" s="623"/>
      <c r="M30" s="623"/>
      <c r="N30" s="623"/>
      <c r="O30" s="622"/>
      <c r="P30" s="605"/>
      <c r="Q30" s="622"/>
      <c r="R30" s="622"/>
      <c r="S30" s="622"/>
      <c r="T30" s="623"/>
      <c r="U30" s="623"/>
      <c r="V30" s="623"/>
      <c r="W30" s="605" t="e">
        <f>U30/R30</f>
        <v>#DIV/0!</v>
      </c>
      <c r="X30" s="616"/>
    </row>
    <row r="31" spans="1:24" s="617" customFormat="1" ht="30.75" customHeight="1" hidden="1">
      <c r="A31" s="624" t="s">
        <v>369</v>
      </c>
      <c r="B31" s="625" t="s">
        <v>201</v>
      </c>
      <c r="C31" s="623"/>
      <c r="D31" s="623"/>
      <c r="E31" s="623"/>
      <c r="F31" s="623"/>
      <c r="G31" s="623"/>
      <c r="H31" s="623"/>
      <c r="I31" s="605"/>
      <c r="J31" s="623"/>
      <c r="K31" s="623"/>
      <c r="L31" s="623"/>
      <c r="M31" s="623"/>
      <c r="N31" s="623"/>
      <c r="O31" s="622"/>
      <c r="P31" s="605"/>
      <c r="Q31" s="622"/>
      <c r="R31" s="622"/>
      <c r="S31" s="622"/>
      <c r="T31" s="623"/>
      <c r="U31" s="623"/>
      <c r="V31" s="623"/>
      <c r="W31" s="605" t="e">
        <f>U31/R31</f>
        <v>#DIV/0!</v>
      </c>
      <c r="X31" s="616"/>
    </row>
    <row r="32" spans="1:24" s="617" customFormat="1" ht="31.5" customHeight="1" hidden="1">
      <c r="A32" s="624" t="s">
        <v>370</v>
      </c>
      <c r="B32" s="625" t="s">
        <v>201</v>
      </c>
      <c r="C32" s="623"/>
      <c r="D32" s="623"/>
      <c r="E32" s="623"/>
      <c r="F32" s="623"/>
      <c r="G32" s="623"/>
      <c r="H32" s="623"/>
      <c r="I32" s="605"/>
      <c r="J32" s="623"/>
      <c r="K32" s="623"/>
      <c r="L32" s="623"/>
      <c r="M32" s="623"/>
      <c r="N32" s="623"/>
      <c r="O32" s="623"/>
      <c r="P32" s="605"/>
      <c r="Q32" s="622"/>
      <c r="R32" s="622"/>
      <c r="S32" s="622"/>
      <c r="T32" s="623"/>
      <c r="U32" s="623"/>
      <c r="V32" s="623"/>
      <c r="W32" s="605" t="e">
        <f>U32/R32</f>
        <v>#DIV/0!</v>
      </c>
      <c r="X32" s="616"/>
    </row>
    <row r="33" spans="1:24" s="617" customFormat="1" ht="31.5" customHeight="1" hidden="1">
      <c r="A33" s="624" t="s">
        <v>371</v>
      </c>
      <c r="B33" s="625" t="s">
        <v>201</v>
      </c>
      <c r="C33" s="608"/>
      <c r="D33" s="608"/>
      <c r="E33" s="608"/>
      <c r="F33" s="608"/>
      <c r="G33" s="608"/>
      <c r="H33" s="608"/>
      <c r="I33" s="607" t="e">
        <f>G33/E33</f>
        <v>#DIV/0!</v>
      </c>
      <c r="J33" s="608"/>
      <c r="K33" s="608"/>
      <c r="L33" s="608"/>
      <c r="M33" s="608"/>
      <c r="N33" s="608"/>
      <c r="O33" s="781"/>
      <c r="P33" s="607" t="e">
        <f>N33/L33</f>
        <v>#DIV/0!</v>
      </c>
      <c r="Q33" s="608"/>
      <c r="R33" s="608"/>
      <c r="S33" s="608"/>
      <c r="T33" s="608"/>
      <c r="U33" s="608">
        <f>G33-N33</f>
        <v>0</v>
      </c>
      <c r="V33" s="781"/>
      <c r="W33" s="607" t="e">
        <f>U33/S33</f>
        <v>#DIV/0!</v>
      </c>
      <c r="X33" s="616"/>
    </row>
    <row r="34" spans="1:24" s="617" customFormat="1" ht="27.75" customHeight="1" hidden="1">
      <c r="A34" s="624" t="s">
        <v>372</v>
      </c>
      <c r="B34" s="625" t="s">
        <v>201</v>
      </c>
      <c r="C34" s="608"/>
      <c r="D34" s="608"/>
      <c r="E34" s="608"/>
      <c r="F34" s="608"/>
      <c r="G34" s="608"/>
      <c r="H34" s="608"/>
      <c r="I34" s="607">
        <v>0</v>
      </c>
      <c r="J34" s="608"/>
      <c r="K34" s="608"/>
      <c r="L34" s="608"/>
      <c r="M34" s="608"/>
      <c r="N34" s="608"/>
      <c r="O34" s="781"/>
      <c r="P34" s="607">
        <v>0</v>
      </c>
      <c r="Q34" s="608"/>
      <c r="R34" s="608"/>
      <c r="S34" s="608"/>
      <c r="T34" s="608"/>
      <c r="U34" s="608">
        <f>G34-N34</f>
        <v>0</v>
      </c>
      <c r="V34" s="781"/>
      <c r="W34" s="607">
        <v>0</v>
      </c>
      <c r="X34" s="616"/>
    </row>
    <row r="35" spans="1:24" ht="33" customHeight="1" hidden="1" thickBot="1">
      <c r="A35" s="626" t="s">
        <v>373</v>
      </c>
      <c r="B35" s="627" t="s">
        <v>201</v>
      </c>
      <c r="C35" s="628"/>
      <c r="D35" s="628"/>
      <c r="E35" s="628"/>
      <c r="F35" s="628"/>
      <c r="G35" s="628"/>
      <c r="H35" s="628"/>
      <c r="I35" s="607">
        <v>0</v>
      </c>
      <c r="J35" s="628"/>
      <c r="K35" s="628"/>
      <c r="L35" s="628"/>
      <c r="M35" s="628"/>
      <c r="N35" s="628"/>
      <c r="O35" s="782"/>
      <c r="P35" s="607">
        <v>0</v>
      </c>
      <c r="Q35" s="628"/>
      <c r="R35" s="628"/>
      <c r="S35" s="628"/>
      <c r="T35" s="628"/>
      <c r="U35" s="628">
        <f>G35-N35</f>
        <v>0</v>
      </c>
      <c r="V35" s="782"/>
      <c r="W35" s="607">
        <v>0</v>
      </c>
      <c r="X35" s="596"/>
    </row>
    <row r="36" spans="1:24" ht="33" customHeight="1" hidden="1" thickBot="1" thickTop="1">
      <c r="A36" s="629"/>
      <c r="B36" s="630"/>
      <c r="C36" s="631"/>
      <c r="D36" s="631"/>
      <c r="E36" s="631"/>
      <c r="F36" s="631"/>
      <c r="G36" s="631"/>
      <c r="H36" s="631"/>
      <c r="I36" s="607">
        <v>0</v>
      </c>
      <c r="J36" s="631"/>
      <c r="K36" s="631"/>
      <c r="L36" s="631"/>
      <c r="M36" s="631"/>
      <c r="N36" s="631"/>
      <c r="O36" s="783"/>
      <c r="P36" s="607">
        <v>0</v>
      </c>
      <c r="Q36" s="631"/>
      <c r="R36" s="631"/>
      <c r="S36" s="631"/>
      <c r="T36" s="631"/>
      <c r="U36" s="631">
        <f>G36-N36</f>
        <v>0</v>
      </c>
      <c r="V36" s="783"/>
      <c r="W36" s="607">
        <v>0</v>
      </c>
      <c r="X36" s="596"/>
    </row>
    <row r="37" spans="1:24" ht="33" customHeight="1" hidden="1" thickBot="1" thickTop="1">
      <c r="A37" s="609" t="s">
        <v>20</v>
      </c>
      <c r="B37" s="610"/>
      <c r="C37" s="611">
        <f aca="true" t="shared" si="5" ref="C37:H37">SUM(C29:C35)</f>
        <v>0</v>
      </c>
      <c r="D37" s="611">
        <f t="shared" si="5"/>
        <v>0</v>
      </c>
      <c r="E37" s="611">
        <f t="shared" si="5"/>
        <v>0</v>
      </c>
      <c r="F37" s="611">
        <f t="shared" si="5"/>
        <v>0</v>
      </c>
      <c r="G37" s="611">
        <f t="shared" si="5"/>
        <v>211000</v>
      </c>
      <c r="H37" s="611">
        <f t="shared" si="5"/>
        <v>392000</v>
      </c>
      <c r="I37" s="612" t="e">
        <f>G37/D37</f>
        <v>#DIV/0!</v>
      </c>
      <c r="J37" s="611">
        <f aca="true" t="shared" si="6" ref="J37:O37">SUM(J29:J35)</f>
        <v>0</v>
      </c>
      <c r="K37" s="611">
        <f t="shared" si="6"/>
        <v>0</v>
      </c>
      <c r="L37" s="611">
        <f t="shared" si="6"/>
        <v>0</v>
      </c>
      <c r="M37" s="611">
        <f t="shared" si="6"/>
        <v>0</v>
      </c>
      <c r="N37" s="611">
        <f t="shared" si="6"/>
        <v>211000</v>
      </c>
      <c r="O37" s="611">
        <f t="shared" si="6"/>
        <v>392000</v>
      </c>
      <c r="P37" s="612" t="e">
        <f>N37/K37</f>
        <v>#DIV/0!</v>
      </c>
      <c r="Q37" s="611">
        <f aca="true" t="shared" si="7" ref="Q37:V37">SUM(Q29:Q35)</f>
        <v>0</v>
      </c>
      <c r="R37" s="611">
        <f t="shared" si="7"/>
        <v>0</v>
      </c>
      <c r="S37" s="611">
        <f t="shared" si="7"/>
        <v>0</v>
      </c>
      <c r="T37" s="611">
        <f t="shared" si="7"/>
        <v>0</v>
      </c>
      <c r="U37" s="611">
        <f t="shared" si="7"/>
        <v>0</v>
      </c>
      <c r="V37" s="611">
        <f t="shared" si="7"/>
        <v>0</v>
      </c>
      <c r="W37" s="612" t="e">
        <f>U37/R37</f>
        <v>#DIV/0!</v>
      </c>
      <c r="X37" s="596"/>
    </row>
    <row r="40" ht="12.75">
      <c r="K40" s="632"/>
    </row>
    <row r="41" ht="12.75">
      <c r="K41" s="632"/>
    </row>
    <row r="42" ht="12.75">
      <c r="K42" s="632"/>
    </row>
    <row r="43" ht="12.75">
      <c r="K43" s="632"/>
    </row>
  </sheetData>
  <sheetProtection/>
  <mergeCells count="15">
    <mergeCell ref="A24:Q24"/>
    <mergeCell ref="A25:A27"/>
    <mergeCell ref="B25:B27"/>
    <mergeCell ref="C25:I27"/>
    <mergeCell ref="J25:P27"/>
    <mergeCell ref="Q25:W27"/>
    <mergeCell ref="J1:U1"/>
    <mergeCell ref="A3:Q3"/>
    <mergeCell ref="A4:Q4"/>
    <mergeCell ref="A5:Q5"/>
    <mergeCell ref="A7:A9"/>
    <mergeCell ref="B7:B9"/>
    <mergeCell ref="C7:I9"/>
    <mergeCell ref="J7:P9"/>
    <mergeCell ref="Q7:W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1"/>
  <sheetViews>
    <sheetView zoomScale="70" zoomScaleNormal="70" workbookViewId="0" topLeftCell="A1">
      <selection activeCell="W3" sqref="W3"/>
    </sheetView>
  </sheetViews>
  <sheetFormatPr defaultColWidth="9.140625" defaultRowHeight="12.75"/>
  <cols>
    <col min="1" max="1" width="53.00390625" style="266" customWidth="1"/>
    <col min="2" max="2" width="17.140625" style="13" bestFit="1" customWidth="1"/>
    <col min="3" max="3" width="17.140625" style="13" customWidth="1"/>
    <col min="4" max="5" width="16.421875" style="13" hidden="1" customWidth="1"/>
    <col min="6" max="6" width="15.7109375" style="13" hidden="1" customWidth="1"/>
    <col min="7" max="8" width="16.00390625" style="13" hidden="1" customWidth="1"/>
    <col min="9" max="9" width="17.140625" style="13" customWidth="1"/>
    <col min="10" max="10" width="15.57421875" style="13" customWidth="1"/>
    <col min="11" max="11" width="15.7109375" style="13" hidden="1" customWidth="1"/>
    <col min="12" max="12" width="15.00390625" style="13" hidden="1" customWidth="1"/>
    <col min="13" max="13" width="17.421875" style="13" hidden="1" customWidth="1"/>
    <col min="14" max="14" width="17.28125" style="13" hidden="1" customWidth="1"/>
    <col min="15" max="15" width="14.57421875" style="13" hidden="1" customWidth="1"/>
    <col min="16" max="16" width="13.421875" style="13" hidden="1" customWidth="1"/>
    <col min="17" max="17" width="16.7109375" style="13" customWidth="1"/>
    <col min="18" max="18" width="8.421875" style="13" customWidth="1"/>
    <col min="19" max="19" width="10.140625" style="13" hidden="1" customWidth="1"/>
    <col min="20" max="20" width="11.7109375" style="13" hidden="1" customWidth="1"/>
    <col min="21" max="21" width="11.57421875" style="13" hidden="1" customWidth="1"/>
    <col min="22" max="22" width="17.57421875" style="13" customWidth="1"/>
    <col min="23" max="23" width="13.8515625" style="13" customWidth="1"/>
    <col min="24" max="24" width="14.8515625" style="13" hidden="1" customWidth="1"/>
    <col min="25" max="25" width="14.421875" style="13" hidden="1" customWidth="1"/>
    <col min="26" max="26" width="14.7109375" style="13" hidden="1" customWidth="1"/>
    <col min="27" max="27" width="14.421875" style="13" hidden="1" customWidth="1"/>
    <col min="28" max="28" width="15.421875" style="13" hidden="1" customWidth="1"/>
    <col min="29" max="29" width="15.28125" style="13" customWidth="1"/>
    <col min="30" max="16384" width="9.140625" style="13" customWidth="1"/>
  </cols>
  <sheetData>
    <row r="1" spans="17:26" ht="12.75" customHeight="1">
      <c r="Q1" s="1373" t="s">
        <v>622</v>
      </c>
      <c r="R1" s="1373"/>
      <c r="S1" s="1373"/>
      <c r="T1" s="1373"/>
      <c r="U1" s="1373"/>
      <c r="V1" s="1373"/>
      <c r="W1" s="1373"/>
      <c r="X1" s="1373"/>
      <c r="Y1" s="1373"/>
      <c r="Z1" s="1373"/>
    </row>
    <row r="2" spans="17:26" ht="12.75" customHeight="1">
      <c r="Q2" s="1190"/>
      <c r="R2" s="1190"/>
      <c r="S2" s="1190"/>
      <c r="T2" s="1190"/>
      <c r="U2" s="1190"/>
      <c r="V2" s="1190"/>
      <c r="W2" s="1190" t="s">
        <v>623</v>
      </c>
      <c r="X2" s="1190"/>
      <c r="Y2" s="1190"/>
      <c r="Z2" s="1190"/>
    </row>
    <row r="3" spans="1:22" ht="19.5">
      <c r="A3" s="1356" t="s">
        <v>459</v>
      </c>
      <c r="B3" s="1356"/>
      <c r="C3" s="1356"/>
      <c r="D3" s="1356"/>
      <c r="E3" s="1356"/>
      <c r="F3" s="1356"/>
      <c r="G3" s="1356"/>
      <c r="H3" s="1356"/>
      <c r="I3" s="1356"/>
      <c r="J3" s="1356"/>
      <c r="K3" s="1356"/>
      <c r="L3" s="1356"/>
      <c r="M3" s="1356"/>
      <c r="N3" s="1356"/>
      <c r="O3" s="1356"/>
      <c r="P3" s="1356"/>
      <c r="Q3" s="1356"/>
      <c r="R3" s="1356"/>
      <c r="S3" s="1356"/>
      <c r="T3" s="1356"/>
      <c r="U3" s="1356"/>
      <c r="V3" s="1356"/>
    </row>
    <row r="4" spans="1:22" ht="15.75">
      <c r="A4" s="1357" t="s">
        <v>575</v>
      </c>
      <c r="B4" s="1357"/>
      <c r="C4" s="1357"/>
      <c r="D4" s="1357"/>
      <c r="E4" s="1357"/>
      <c r="F4" s="1357"/>
      <c r="G4" s="1357"/>
      <c r="H4" s="1357"/>
      <c r="I4" s="1357"/>
      <c r="J4" s="1357"/>
      <c r="K4" s="1357"/>
      <c r="L4" s="1357"/>
      <c r="M4" s="1357"/>
      <c r="N4" s="1357"/>
      <c r="O4" s="1357"/>
      <c r="P4" s="1357"/>
      <c r="Q4" s="1357"/>
      <c r="R4" s="1357"/>
      <c r="S4" s="1357"/>
      <c r="T4" s="1357"/>
      <c r="U4" s="1357"/>
      <c r="V4" s="1357"/>
    </row>
    <row r="5" spans="1:22" ht="14.25">
      <c r="A5" s="1358" t="s">
        <v>190</v>
      </c>
      <c r="B5" s="1358"/>
      <c r="C5" s="1358"/>
      <c r="D5" s="1358"/>
      <c r="E5" s="1358"/>
      <c r="F5" s="1358"/>
      <c r="G5" s="1358"/>
      <c r="H5" s="1358"/>
      <c r="I5" s="1358"/>
      <c r="J5" s="1358"/>
      <c r="K5" s="1358"/>
      <c r="L5" s="1358"/>
      <c r="M5" s="1358"/>
      <c r="N5" s="1358"/>
      <c r="O5" s="1358"/>
      <c r="P5" s="1358"/>
      <c r="Q5" s="1358"/>
      <c r="R5" s="1358"/>
      <c r="S5" s="1358"/>
      <c r="T5" s="1358"/>
      <c r="U5" s="1358"/>
      <c r="V5" s="1358"/>
    </row>
    <row r="6" spans="1:22" ht="14.25">
      <c r="A6" s="842"/>
      <c r="B6" s="842"/>
      <c r="C6" s="842"/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70">
        <f>SUM(O12,O20)</f>
        <v>0</v>
      </c>
      <c r="P6" s="842"/>
      <c r="Q6" s="842"/>
      <c r="R6" s="842"/>
      <c r="S6" s="842"/>
      <c r="T6" s="842"/>
      <c r="U6" s="842"/>
      <c r="V6" s="842"/>
    </row>
    <row r="7" spans="1:22" ht="18.75" thickBot="1">
      <c r="A7" s="844" t="s">
        <v>460</v>
      </c>
      <c r="V7" s="10" t="s">
        <v>429</v>
      </c>
    </row>
    <row r="8" spans="1:29" ht="24.75" customHeight="1">
      <c r="A8" s="1359" t="s">
        <v>21</v>
      </c>
      <c r="B8" s="1361" t="s">
        <v>22</v>
      </c>
      <c r="C8" s="1362"/>
      <c r="D8" s="1362"/>
      <c r="E8" s="1362"/>
      <c r="F8" s="1362"/>
      <c r="G8" s="1362"/>
      <c r="H8" s="1362"/>
      <c r="I8" s="1362"/>
      <c r="J8" s="1362"/>
      <c r="K8" s="1362"/>
      <c r="L8" s="1362"/>
      <c r="M8" s="1362"/>
      <c r="N8" s="1362"/>
      <c r="O8" s="1362"/>
      <c r="P8" s="1362"/>
      <c r="Q8" s="1363" t="s">
        <v>23</v>
      </c>
      <c r="R8" s="1364"/>
      <c r="S8" s="1364"/>
      <c r="T8" s="1364"/>
      <c r="U8" s="1364"/>
      <c r="V8" s="1364"/>
      <c r="W8" s="1364"/>
      <c r="X8" s="1364"/>
      <c r="Y8" s="1364"/>
      <c r="Z8" s="1364"/>
      <c r="AA8" s="1361"/>
      <c r="AB8" s="1365"/>
      <c r="AC8" s="484"/>
    </row>
    <row r="9" spans="1:29" ht="24.75" customHeight="1">
      <c r="A9" s="1360"/>
      <c r="B9" s="1366" t="s">
        <v>60</v>
      </c>
      <c r="C9" s="1367"/>
      <c r="D9" s="1367"/>
      <c r="E9" s="1367"/>
      <c r="F9" s="1367"/>
      <c r="G9" s="1367"/>
      <c r="H9" s="1368"/>
      <c r="I9" s="1366" t="s">
        <v>61</v>
      </c>
      <c r="J9" s="1367"/>
      <c r="K9" s="1367"/>
      <c r="L9" s="1367"/>
      <c r="M9" s="1367"/>
      <c r="N9" s="1367"/>
      <c r="O9" s="1367"/>
      <c r="P9" s="1367"/>
      <c r="Q9" s="1369" t="s">
        <v>60</v>
      </c>
      <c r="R9" s="1370"/>
      <c r="S9" s="1370"/>
      <c r="T9" s="1370"/>
      <c r="U9" s="1370"/>
      <c r="V9" s="1370" t="s">
        <v>61</v>
      </c>
      <c r="W9" s="1370"/>
      <c r="X9" s="1370"/>
      <c r="Y9" s="1370"/>
      <c r="Z9" s="1370"/>
      <c r="AA9" s="1366"/>
      <c r="AB9" s="1372"/>
      <c r="AC9" s="484"/>
    </row>
    <row r="10" spans="1:29" ht="42" customHeight="1">
      <c r="A10" s="260"/>
      <c r="B10" s="261" t="s">
        <v>216</v>
      </c>
      <c r="C10" s="261" t="s">
        <v>214</v>
      </c>
      <c r="D10" s="486" t="s">
        <v>219</v>
      </c>
      <c r="E10" s="261" t="s">
        <v>221</v>
      </c>
      <c r="F10" s="261" t="s">
        <v>419</v>
      </c>
      <c r="G10" s="261" t="s">
        <v>423</v>
      </c>
      <c r="H10" s="261" t="s">
        <v>224</v>
      </c>
      <c r="I10" s="261" t="s">
        <v>216</v>
      </c>
      <c r="J10" s="754" t="s">
        <v>214</v>
      </c>
      <c r="K10" s="759" t="s">
        <v>219</v>
      </c>
      <c r="L10" s="760" t="s">
        <v>221</v>
      </c>
      <c r="M10" s="261" t="s">
        <v>419</v>
      </c>
      <c r="N10" s="261" t="s">
        <v>423</v>
      </c>
      <c r="O10" s="785" t="s">
        <v>381</v>
      </c>
      <c r="P10" s="760" t="s">
        <v>224</v>
      </c>
      <c r="Q10" s="755" t="s">
        <v>216</v>
      </c>
      <c r="R10" s="261" t="s">
        <v>214</v>
      </c>
      <c r="S10" s="486" t="s">
        <v>219</v>
      </c>
      <c r="T10" s="261" t="s">
        <v>221</v>
      </c>
      <c r="U10" s="261" t="s">
        <v>423</v>
      </c>
      <c r="V10" s="261" t="s">
        <v>216</v>
      </c>
      <c r="W10" s="261" t="s">
        <v>214</v>
      </c>
      <c r="X10" s="486" t="s">
        <v>219</v>
      </c>
      <c r="Y10" s="261" t="s">
        <v>221</v>
      </c>
      <c r="Z10" s="261" t="s">
        <v>419</v>
      </c>
      <c r="AA10" s="261" t="s">
        <v>423</v>
      </c>
      <c r="AB10" s="261" t="s">
        <v>224</v>
      </c>
      <c r="AC10" s="484"/>
    </row>
    <row r="11" spans="1:29" ht="18">
      <c r="A11" s="20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32"/>
      <c r="P11" s="711"/>
      <c r="Q11" s="334"/>
      <c r="R11" s="24"/>
      <c r="S11" s="24"/>
      <c r="T11" s="24"/>
      <c r="U11" s="24"/>
      <c r="V11" s="26"/>
      <c r="W11" s="26"/>
      <c r="X11" s="26"/>
      <c r="Y11" s="26"/>
      <c r="Z11" s="26"/>
      <c r="AA11" s="333"/>
      <c r="AB11" s="44"/>
      <c r="AC11" s="484"/>
    </row>
    <row r="12" spans="1:29" ht="18">
      <c r="A12" s="20" t="s">
        <v>517</v>
      </c>
      <c r="B12" s="23"/>
      <c r="C12" s="23"/>
      <c r="D12" s="23"/>
      <c r="E12" s="23"/>
      <c r="F12" s="23"/>
      <c r="G12" s="23"/>
      <c r="H12" s="23"/>
      <c r="I12" s="23"/>
      <c r="J12" s="23">
        <v>7610000</v>
      </c>
      <c r="K12" s="23"/>
      <c r="L12" s="23"/>
      <c r="M12" s="23"/>
      <c r="N12" s="23"/>
      <c r="O12" s="869"/>
      <c r="P12" s="711"/>
      <c r="Q12" s="334"/>
      <c r="R12" s="24"/>
      <c r="S12" s="24"/>
      <c r="T12" s="24"/>
      <c r="U12" s="24"/>
      <c r="V12" s="26"/>
      <c r="W12" s="26"/>
      <c r="X12" s="26"/>
      <c r="Y12" s="26"/>
      <c r="Z12" s="26"/>
      <c r="AA12" s="26"/>
      <c r="AB12" s="44"/>
      <c r="AC12" s="484"/>
    </row>
    <row r="13" spans="1:29" ht="18" hidden="1">
      <c r="A13" s="20" t="s">
        <v>478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869"/>
      <c r="P13" s="711"/>
      <c r="Q13" s="334"/>
      <c r="R13" s="24"/>
      <c r="S13" s="24"/>
      <c r="T13" s="24"/>
      <c r="U13" s="24"/>
      <c r="V13" s="26"/>
      <c r="W13" s="26"/>
      <c r="X13" s="26"/>
      <c r="Y13" s="26"/>
      <c r="Z13" s="26"/>
      <c r="AA13" s="26"/>
      <c r="AB13" s="44"/>
      <c r="AC13" s="484"/>
    </row>
    <row r="14" spans="1:29" ht="30.75" hidden="1">
      <c r="A14" s="20" t="s">
        <v>486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32"/>
      <c r="P14" s="332"/>
      <c r="Q14" s="334"/>
      <c r="R14" s="24"/>
      <c r="S14" s="24"/>
      <c r="T14" s="24"/>
      <c r="U14" s="24"/>
      <c r="V14" s="26"/>
      <c r="W14" s="26"/>
      <c r="X14" s="26"/>
      <c r="Y14" s="26"/>
      <c r="Z14" s="26"/>
      <c r="AA14" s="26"/>
      <c r="AB14" s="44"/>
      <c r="AC14" s="484"/>
    </row>
    <row r="15" spans="1:29" ht="18" hidden="1">
      <c r="A15" s="21" t="s">
        <v>208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32"/>
      <c r="P15" s="711"/>
      <c r="Q15" s="334"/>
      <c r="R15" s="24"/>
      <c r="S15" s="24"/>
      <c r="T15" s="24"/>
      <c r="U15" s="24"/>
      <c r="V15" s="26"/>
      <c r="W15" s="26"/>
      <c r="X15" s="26"/>
      <c r="Y15" s="26"/>
      <c r="Z15" s="26"/>
      <c r="AA15" s="26"/>
      <c r="AB15" s="44"/>
      <c r="AC15" s="484"/>
    </row>
    <row r="16" spans="1:29" ht="18" hidden="1">
      <c r="A16" s="21" t="s">
        <v>209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32"/>
      <c r="P16" s="711"/>
      <c r="Q16" s="334"/>
      <c r="R16" s="24"/>
      <c r="S16" s="24"/>
      <c r="T16" s="24"/>
      <c r="U16" s="24"/>
      <c r="V16" s="26"/>
      <c r="W16" s="26"/>
      <c r="X16" s="26"/>
      <c r="Y16" s="26"/>
      <c r="Z16" s="26"/>
      <c r="AA16" s="26"/>
      <c r="AB16" s="44"/>
      <c r="AC16" s="484"/>
    </row>
    <row r="17" spans="1:29" ht="18">
      <c r="A17" s="21" t="s">
        <v>210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32"/>
      <c r="P17" s="711"/>
      <c r="Q17" s="334"/>
      <c r="R17" s="24"/>
      <c r="S17" s="24"/>
      <c r="T17" s="24"/>
      <c r="U17" s="24"/>
      <c r="V17" s="26">
        <v>5000000</v>
      </c>
      <c r="W17" s="26">
        <v>5000000</v>
      </c>
      <c r="X17" s="26"/>
      <c r="Y17" s="26"/>
      <c r="Z17" s="26">
        <v>3000000</v>
      </c>
      <c r="AA17" s="26"/>
      <c r="AB17" s="711" t="e">
        <f>Z17/Y17</f>
        <v>#DIV/0!</v>
      </c>
      <c r="AC17" s="484"/>
    </row>
    <row r="18" spans="1:29" ht="33" customHeight="1">
      <c r="A18" s="21" t="s">
        <v>467</v>
      </c>
      <c r="B18" s="23"/>
      <c r="C18" s="23"/>
      <c r="D18" s="23"/>
      <c r="E18" s="23"/>
      <c r="F18" s="23"/>
      <c r="G18" s="23"/>
      <c r="H18" s="23"/>
      <c r="I18" s="23">
        <v>4624495</v>
      </c>
      <c r="J18" s="23">
        <v>4624495</v>
      </c>
      <c r="K18" s="23"/>
      <c r="L18" s="23">
        <f>SUM(L19:L41)</f>
        <v>0</v>
      </c>
      <c r="M18" s="23"/>
      <c r="N18" s="23">
        <f>SUM(N19:N41)</f>
        <v>0</v>
      </c>
      <c r="O18" s="23"/>
      <c r="P18" s="711"/>
      <c r="Q18" s="335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711" t="e">
        <f>Z18/Y18</f>
        <v>#DIV/0!</v>
      </c>
      <c r="AC18" s="761"/>
    </row>
    <row r="19" spans="1:29" ht="17.25" customHeight="1" hidden="1">
      <c r="A19" s="557" t="s">
        <v>339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32"/>
      <c r="P19" s="332"/>
      <c r="Q19" s="335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44"/>
      <c r="AC19" s="484"/>
    </row>
    <row r="20" spans="1:29" ht="17.25" customHeight="1" hidden="1">
      <c r="A20" s="557" t="s">
        <v>499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32"/>
      <c r="P20" s="711"/>
      <c r="Q20" s="335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44"/>
      <c r="AC20" s="761"/>
    </row>
    <row r="21" spans="1:29" ht="17.25" customHeight="1" hidden="1">
      <c r="A21" s="557" t="s">
        <v>340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32"/>
      <c r="P21" s="711"/>
      <c r="Q21" s="335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44"/>
      <c r="AC21" s="484"/>
    </row>
    <row r="22" spans="1:29" ht="17.25" customHeight="1" hidden="1">
      <c r="A22" s="557" t="s">
        <v>341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332"/>
      <c r="P22" s="711"/>
      <c r="Q22" s="335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44"/>
      <c r="AC22" s="484"/>
    </row>
    <row r="23" spans="1:29" ht="17.25" customHeight="1" hidden="1">
      <c r="A23" s="557" t="s">
        <v>342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332"/>
      <c r="P23" s="711"/>
      <c r="Q23" s="335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44"/>
      <c r="AC23" s="484"/>
    </row>
    <row r="24" spans="1:29" ht="17.25" customHeight="1" hidden="1">
      <c r="A24" s="557" t="s">
        <v>417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332"/>
      <c r="P24" s="711"/>
      <c r="Q24" s="335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44"/>
      <c r="AC24" s="484"/>
    </row>
    <row r="25" spans="1:29" ht="17.25" customHeight="1" hidden="1">
      <c r="A25" s="557" t="s">
        <v>346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332"/>
      <c r="P25" s="711"/>
      <c r="Q25" s="335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44"/>
      <c r="AC25" s="484"/>
    </row>
    <row r="26" spans="1:29" ht="30" customHeight="1" hidden="1">
      <c r="A26" s="557" t="s">
        <v>555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332"/>
      <c r="P26" s="711"/>
      <c r="Q26" s="335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44"/>
      <c r="AC26" s="484"/>
    </row>
    <row r="27" spans="1:29" ht="30" customHeight="1" hidden="1">
      <c r="A27" s="557" t="s">
        <v>557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332"/>
      <c r="P27" s="711"/>
      <c r="Q27" s="335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44"/>
      <c r="AC27" s="484"/>
    </row>
    <row r="28" spans="1:29" ht="17.25" customHeight="1" hidden="1">
      <c r="A28" s="557" t="s">
        <v>343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32"/>
      <c r="P28" s="711"/>
      <c r="Q28" s="335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44"/>
      <c r="AC28" s="484"/>
    </row>
    <row r="29" spans="1:29" ht="17.25" customHeight="1" hidden="1">
      <c r="A29" s="557" t="s">
        <v>415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332"/>
      <c r="P29" s="711"/>
      <c r="Q29" s="335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44"/>
      <c r="AC29" s="484"/>
    </row>
    <row r="30" spans="1:29" ht="17.25" customHeight="1" hidden="1">
      <c r="A30" s="557" t="s">
        <v>496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332"/>
      <c r="P30" s="711"/>
      <c r="Q30" s="335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44"/>
      <c r="AC30" s="484"/>
    </row>
    <row r="31" spans="1:29" ht="17.25" customHeight="1" hidden="1">
      <c r="A31" s="557" t="s">
        <v>506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32"/>
      <c r="P31" s="711"/>
      <c r="Q31" s="33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44"/>
      <c r="AC31" s="484"/>
    </row>
    <row r="32" spans="1:29" ht="17.25" customHeight="1" hidden="1">
      <c r="A32" s="557" t="s">
        <v>344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332"/>
      <c r="P32" s="711"/>
      <c r="Q32" s="33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44"/>
      <c r="AC32" s="484"/>
    </row>
    <row r="33" spans="1:29" ht="17.25" customHeight="1" hidden="1">
      <c r="A33" s="557" t="s">
        <v>497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332"/>
      <c r="P33" s="711"/>
      <c r="Q33" s="33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44"/>
      <c r="AC33" s="484"/>
    </row>
    <row r="34" spans="1:29" ht="17.25" customHeight="1" hidden="1">
      <c r="A34" s="557" t="s">
        <v>466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332"/>
      <c r="P34" s="711"/>
      <c r="Q34" s="33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44"/>
      <c r="AC34" s="484"/>
    </row>
    <row r="35" spans="1:29" ht="17.25" customHeight="1" hidden="1">
      <c r="A35" s="557" t="s">
        <v>498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332"/>
      <c r="P35" s="711"/>
      <c r="Q35" s="335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44"/>
      <c r="AC35" s="484"/>
    </row>
    <row r="36" spans="1:29" ht="17.25" customHeight="1" hidden="1">
      <c r="A36" s="557" t="s">
        <v>500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332"/>
      <c r="P36" s="711"/>
      <c r="Q36" s="335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44"/>
      <c r="AC36" s="484"/>
    </row>
    <row r="37" spans="1:29" ht="17.25" customHeight="1" hidden="1">
      <c r="A37" s="557" t="s">
        <v>466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332"/>
      <c r="P37" s="711"/>
      <c r="Q37" s="335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44"/>
      <c r="AC37" s="484"/>
    </row>
    <row r="38" spans="1:29" ht="17.25" customHeight="1" hidden="1">
      <c r="A38" s="557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332"/>
      <c r="P38" s="711"/>
      <c r="Q38" s="335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44"/>
      <c r="AC38" s="484"/>
    </row>
    <row r="39" spans="1:29" ht="17.25" customHeight="1" hidden="1">
      <c r="A39" s="557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332"/>
      <c r="P39" s="711"/>
      <c r="Q39" s="335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44"/>
      <c r="AC39" s="484"/>
    </row>
    <row r="40" spans="1:29" ht="17.25" customHeight="1" hidden="1">
      <c r="A40" s="557" t="s">
        <v>425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332"/>
      <c r="P40" s="711"/>
      <c r="Q40" s="335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44"/>
      <c r="AC40" s="484"/>
    </row>
    <row r="41" spans="1:29" ht="17.25" customHeight="1" hidden="1">
      <c r="A41" s="557" t="s">
        <v>416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711"/>
      <c r="Q41" s="335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44"/>
      <c r="AC41" s="484"/>
    </row>
    <row r="42" spans="1:29" ht="17.25" customHeight="1" hidden="1">
      <c r="A42" s="21" t="s">
        <v>468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>
        <f>SUM(N43:N45)</f>
        <v>0</v>
      </c>
      <c r="O42" s="23"/>
      <c r="P42" s="711"/>
      <c r="Q42" s="335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44"/>
      <c r="AC42" s="484"/>
    </row>
    <row r="43" spans="1:29" ht="17.25" customHeight="1" hidden="1">
      <c r="A43" s="557" t="s">
        <v>339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711"/>
      <c r="Q43" s="335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44"/>
      <c r="AC43" s="761"/>
    </row>
    <row r="44" spans="1:29" ht="17.25" customHeight="1" hidden="1">
      <c r="A44" s="557" t="s">
        <v>465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711"/>
      <c r="Q44" s="335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44"/>
      <c r="AC44" s="484"/>
    </row>
    <row r="45" spans="1:29" ht="17.25" customHeight="1" hidden="1">
      <c r="A45" s="557" t="s">
        <v>345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711"/>
      <c r="Q45" s="335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44"/>
      <c r="AC45" s="484"/>
    </row>
    <row r="46" spans="1:29" ht="17.25" customHeight="1" hidden="1">
      <c r="A46" s="557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332"/>
      <c r="P46" s="711"/>
      <c r="Q46" s="335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44"/>
      <c r="AC46" s="484"/>
    </row>
    <row r="47" spans="1:29" ht="17.25" customHeight="1" hidden="1">
      <c r="A47" s="1018" t="s">
        <v>417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332"/>
      <c r="P47" s="711"/>
      <c r="Q47" s="335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44"/>
      <c r="AC47" s="484"/>
    </row>
    <row r="48" spans="1:29" ht="17.25" customHeight="1" hidden="1">
      <c r="A48" s="1018" t="s">
        <v>556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332"/>
      <c r="P48" s="711"/>
      <c r="Q48" s="335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44"/>
      <c r="AC48" s="484"/>
    </row>
    <row r="49" spans="1:29" ht="17.25" customHeight="1">
      <c r="A49" s="21" t="s">
        <v>559</v>
      </c>
      <c r="B49" s="23"/>
      <c r="C49" s="23"/>
      <c r="D49" s="23"/>
      <c r="E49" s="23"/>
      <c r="F49" s="23"/>
      <c r="G49" s="23"/>
      <c r="H49" s="23"/>
      <c r="I49" s="23">
        <v>200000</v>
      </c>
      <c r="J49" s="23">
        <v>200000</v>
      </c>
      <c r="K49" s="23"/>
      <c r="L49" s="23"/>
      <c r="M49" s="23"/>
      <c r="N49" s="23"/>
      <c r="O49" s="332"/>
      <c r="P49" s="711"/>
      <c r="Q49" s="335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44"/>
      <c r="AC49" s="484"/>
    </row>
    <row r="50" spans="1:29" ht="17.25" customHeight="1">
      <c r="A50" s="21" t="s">
        <v>596</v>
      </c>
      <c r="B50" s="23"/>
      <c r="C50" s="23"/>
      <c r="D50" s="23"/>
      <c r="E50" s="23"/>
      <c r="F50" s="23"/>
      <c r="G50" s="23"/>
      <c r="H50" s="23"/>
      <c r="I50" s="23">
        <v>250000</v>
      </c>
      <c r="J50" s="23">
        <v>250000</v>
      </c>
      <c r="K50" s="23"/>
      <c r="L50" s="23"/>
      <c r="M50" s="23"/>
      <c r="N50" s="23"/>
      <c r="O50" s="332"/>
      <c r="P50" s="711"/>
      <c r="Q50" s="335"/>
      <c r="R50" s="26"/>
      <c r="S50" s="26"/>
      <c r="T50" s="26"/>
      <c r="U50" s="26"/>
      <c r="V50" s="26"/>
      <c r="W50" s="26"/>
      <c r="X50" s="26"/>
      <c r="Y50" s="26"/>
      <c r="Z50" s="23">
        <v>600000</v>
      </c>
      <c r="AA50" s="23"/>
      <c r="AB50" s="44"/>
      <c r="AC50" s="484"/>
    </row>
    <row r="51" spans="1:29" ht="17.25" customHeight="1">
      <c r="A51" s="21" t="s">
        <v>484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332"/>
      <c r="P51" s="711"/>
      <c r="Q51" s="335"/>
      <c r="R51" s="26"/>
      <c r="S51" s="26"/>
      <c r="T51" s="26"/>
      <c r="U51" s="26"/>
      <c r="V51" s="26"/>
      <c r="W51" s="26"/>
      <c r="X51" s="26"/>
      <c r="Y51" s="26"/>
      <c r="Z51" s="23">
        <v>600000</v>
      </c>
      <c r="AA51" s="23"/>
      <c r="AB51" s="44"/>
      <c r="AC51" s="484"/>
    </row>
    <row r="52" spans="1:29" ht="17.25" customHeight="1">
      <c r="A52" s="21" t="s">
        <v>485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332"/>
      <c r="P52" s="711"/>
      <c r="Q52" s="335"/>
      <c r="R52" s="26"/>
      <c r="S52" s="26"/>
      <c r="T52" s="26"/>
      <c r="U52" s="26"/>
      <c r="V52" s="26"/>
      <c r="W52" s="26"/>
      <c r="X52" s="26"/>
      <c r="Y52" s="26"/>
      <c r="Z52" s="23">
        <v>600000</v>
      </c>
      <c r="AA52" s="23"/>
      <c r="AB52" s="44"/>
      <c r="AC52" s="484"/>
    </row>
    <row r="53" spans="1:29" ht="17.25" customHeight="1">
      <c r="A53" s="21" t="s">
        <v>487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>
        <v>50000</v>
      </c>
      <c r="N53" s="23"/>
      <c r="O53" s="332"/>
      <c r="P53" s="332"/>
      <c r="Q53" s="33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44"/>
      <c r="AC53" s="484"/>
    </row>
    <row r="54" spans="1:29" ht="17.25" customHeight="1">
      <c r="A54" s="21" t="s">
        <v>488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>
        <v>50000</v>
      </c>
      <c r="N54" s="23"/>
      <c r="O54" s="332"/>
      <c r="P54" s="332"/>
      <c r="Q54" s="335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44"/>
      <c r="AC54" s="484"/>
    </row>
    <row r="55" spans="1:29" ht="39.75" customHeight="1">
      <c r="A55" s="21" t="s">
        <v>501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>
        <v>53640</v>
      </c>
      <c r="N55" s="23"/>
      <c r="O55" s="332"/>
      <c r="P55" s="711"/>
      <c r="Q55" s="335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44"/>
      <c r="AC55" s="484"/>
    </row>
    <row r="56" spans="1:29" ht="36.75" customHeight="1">
      <c r="A56" s="21" t="s">
        <v>494</v>
      </c>
      <c r="B56" s="23"/>
      <c r="C56" s="23"/>
      <c r="D56" s="23"/>
      <c r="E56" s="23"/>
      <c r="F56" s="23"/>
      <c r="G56" s="23"/>
      <c r="H56" s="23"/>
      <c r="I56" s="23">
        <v>100000</v>
      </c>
      <c r="J56" s="23">
        <v>100000</v>
      </c>
      <c r="K56" s="23"/>
      <c r="L56" s="23"/>
      <c r="M56" s="23"/>
      <c r="N56" s="23"/>
      <c r="O56" s="332"/>
      <c r="P56" s="711"/>
      <c r="Q56" s="335"/>
      <c r="R56" s="26"/>
      <c r="S56" s="26"/>
      <c r="T56" s="26"/>
      <c r="U56" s="26"/>
      <c r="V56" s="26"/>
      <c r="W56" s="26"/>
      <c r="X56" s="26"/>
      <c r="Y56" s="26"/>
      <c r="Z56" s="26">
        <v>70000</v>
      </c>
      <c r="AA56" s="26"/>
      <c r="AB56" s="44"/>
      <c r="AC56" s="484"/>
    </row>
    <row r="57" spans="1:29" s="14" customFormat="1" ht="30.75">
      <c r="A57" s="21" t="s">
        <v>519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332"/>
      <c r="P57" s="711"/>
      <c r="Q57" s="336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44"/>
      <c r="AC57" s="485"/>
    </row>
    <row r="58" spans="1:29" ht="26.25">
      <c r="A58" s="1158" t="s">
        <v>609</v>
      </c>
      <c r="B58" s="26"/>
      <c r="C58" s="26"/>
      <c r="D58" s="26"/>
      <c r="E58" s="26"/>
      <c r="F58" s="26"/>
      <c r="G58" s="26"/>
      <c r="H58" s="26"/>
      <c r="I58" s="26">
        <v>300000</v>
      </c>
      <c r="J58" s="26">
        <v>300000</v>
      </c>
      <c r="K58" s="26"/>
      <c r="L58" s="26"/>
      <c r="M58" s="26"/>
      <c r="N58" s="26"/>
      <c r="O58" s="333"/>
      <c r="P58" s="711"/>
      <c r="Q58" s="336"/>
      <c r="R58" s="23"/>
      <c r="S58" s="23"/>
      <c r="T58" s="23"/>
      <c r="U58" s="23"/>
      <c r="V58" s="26"/>
      <c r="W58" s="26"/>
      <c r="X58" s="26"/>
      <c r="Y58" s="26"/>
      <c r="Z58" s="26"/>
      <c r="AA58" s="26"/>
      <c r="AB58" s="25"/>
      <c r="AC58" s="484"/>
    </row>
    <row r="59" spans="1:29" ht="18">
      <c r="A59" s="209" t="s">
        <v>608</v>
      </c>
      <c r="B59" s="26"/>
      <c r="C59" s="26"/>
      <c r="D59" s="26"/>
      <c r="E59" s="26"/>
      <c r="F59" s="26"/>
      <c r="G59" s="26"/>
      <c r="H59" s="26"/>
      <c r="I59" s="26">
        <v>100000</v>
      </c>
      <c r="J59" s="26">
        <v>100000</v>
      </c>
      <c r="K59" s="26"/>
      <c r="L59" s="26"/>
      <c r="M59" s="26"/>
      <c r="N59" s="26"/>
      <c r="O59" s="333"/>
      <c r="P59" s="711"/>
      <c r="Q59" s="336"/>
      <c r="R59" s="23"/>
      <c r="S59" s="23"/>
      <c r="T59" s="23"/>
      <c r="U59" s="23"/>
      <c r="V59" s="26"/>
      <c r="W59" s="26"/>
      <c r="X59" s="26"/>
      <c r="Y59" s="26"/>
      <c r="Z59" s="26"/>
      <c r="AA59" s="26"/>
      <c r="AB59" s="25"/>
      <c r="AC59" s="484"/>
    </row>
    <row r="60" spans="1:29" ht="18">
      <c r="A60" s="21" t="s">
        <v>560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332"/>
      <c r="P60" s="711"/>
      <c r="Q60" s="336"/>
      <c r="R60" s="23"/>
      <c r="S60" s="23"/>
      <c r="T60" s="23"/>
      <c r="U60" s="23"/>
      <c r="V60" s="23">
        <v>1000000</v>
      </c>
      <c r="W60" s="23">
        <v>1000000</v>
      </c>
      <c r="X60" s="26"/>
      <c r="Y60" s="26"/>
      <c r="Z60" s="26"/>
      <c r="AA60" s="26"/>
      <c r="AB60" s="25"/>
      <c r="AC60" s="484"/>
    </row>
    <row r="61" spans="1:29" ht="23.25" customHeight="1" thickBot="1">
      <c r="A61" s="1047" t="s">
        <v>1</v>
      </c>
      <c r="B61" s="1048">
        <f aca="true" t="shared" si="0" ref="B61:I61">SUM(B11:B60)</f>
        <v>0</v>
      </c>
      <c r="C61" s="1048">
        <f t="shared" si="0"/>
        <v>0</v>
      </c>
      <c r="D61" s="1048">
        <f t="shared" si="0"/>
        <v>0</v>
      </c>
      <c r="E61" s="1048">
        <f t="shared" si="0"/>
        <v>0</v>
      </c>
      <c r="F61" s="1048">
        <f t="shared" si="0"/>
        <v>0</v>
      </c>
      <c r="G61" s="1048">
        <f t="shared" si="0"/>
        <v>0</v>
      </c>
      <c r="H61" s="1048">
        <f t="shared" si="0"/>
        <v>0</v>
      </c>
      <c r="I61" s="1048">
        <f t="shared" si="0"/>
        <v>5574495</v>
      </c>
      <c r="J61" s="1048">
        <f>SUM(J11:J60)</f>
        <v>13184495</v>
      </c>
      <c r="K61" s="1048">
        <f>SUM(K11:K60)</f>
        <v>0</v>
      </c>
      <c r="L61" s="1048">
        <f>SUM(L11:L18,L42,L47:L60)</f>
        <v>0</v>
      </c>
      <c r="M61" s="1048">
        <f>SUM(M11:M60)</f>
        <v>153640</v>
      </c>
      <c r="N61" s="1048">
        <f>SUM(N11:N18,N42,N48:N60)</f>
        <v>0</v>
      </c>
      <c r="O61" s="1048">
        <f>SUM(O11:O18,O42,O48:O54)</f>
        <v>0</v>
      </c>
      <c r="P61" s="1049" t="e">
        <f>M61/L61</f>
        <v>#DIV/0!</v>
      </c>
      <c r="Q61" s="1050">
        <f aca="true" t="shared" si="1" ref="Q61:AB61">SUM(Q11:Q60)</f>
        <v>0</v>
      </c>
      <c r="R61" s="1048">
        <f t="shared" si="1"/>
        <v>0</v>
      </c>
      <c r="S61" s="1048">
        <f t="shared" si="1"/>
        <v>0</v>
      </c>
      <c r="T61" s="1048">
        <f t="shared" si="1"/>
        <v>0</v>
      </c>
      <c r="U61" s="1048">
        <f t="shared" si="1"/>
        <v>0</v>
      </c>
      <c r="V61" s="1048">
        <f t="shared" si="1"/>
        <v>6000000</v>
      </c>
      <c r="W61" s="27">
        <f t="shared" si="1"/>
        <v>6000000</v>
      </c>
      <c r="X61" s="27">
        <f t="shared" si="1"/>
        <v>0</v>
      </c>
      <c r="Y61" s="27">
        <f t="shared" si="1"/>
        <v>0</v>
      </c>
      <c r="Z61" s="27">
        <f>SUM(Z11:Z60)</f>
        <v>4870000</v>
      </c>
      <c r="AA61" s="27">
        <f>SUM(AA11:AA60)</f>
        <v>0</v>
      </c>
      <c r="AB61" s="27" t="e">
        <f t="shared" si="1"/>
        <v>#DIV/0!</v>
      </c>
      <c r="AC61" s="712"/>
    </row>
    <row r="62" spans="1:28" ht="15">
      <c r="A62" s="1051"/>
      <c r="B62" s="1052"/>
      <c r="C62" s="1052"/>
      <c r="D62" s="1052"/>
      <c r="E62" s="1052"/>
      <c r="F62" s="1052"/>
      <c r="G62" s="1052"/>
      <c r="H62" s="1052"/>
      <c r="I62" s="873"/>
      <c r="J62" s="873"/>
      <c r="K62" s="873"/>
      <c r="L62" s="873"/>
      <c r="M62" s="873"/>
      <c r="N62" s="873"/>
      <c r="O62" s="873"/>
      <c r="P62" s="873"/>
      <c r="Q62" s="873"/>
      <c r="R62" s="1052"/>
      <c r="S62" s="1052"/>
      <c r="T62" s="1052"/>
      <c r="U62" s="1052"/>
      <c r="V62" s="873"/>
      <c r="X62" s="330"/>
      <c r="Z62" s="330"/>
      <c r="AA62" s="330"/>
      <c r="AB62" s="330"/>
    </row>
    <row r="63" spans="1:24" ht="14.25">
      <c r="A63" s="1371" t="s">
        <v>213</v>
      </c>
      <c r="B63" s="1371"/>
      <c r="C63" s="1371"/>
      <c r="D63" s="1371"/>
      <c r="E63" s="1371"/>
      <c r="F63" s="1371"/>
      <c r="G63" s="1371"/>
      <c r="H63" s="1371"/>
      <c r="I63" s="1371"/>
      <c r="J63" s="1371"/>
      <c r="K63" s="1371"/>
      <c r="L63" s="1371"/>
      <c r="M63" s="1371"/>
      <c r="N63" s="1371"/>
      <c r="O63" s="1371"/>
      <c r="P63" s="1371"/>
      <c r="Q63" s="1371"/>
      <c r="R63" s="1371"/>
      <c r="S63" s="1371"/>
      <c r="T63" s="1371"/>
      <c r="U63" s="1371"/>
      <c r="V63" s="1371"/>
      <c r="X63" s="330"/>
    </row>
    <row r="64" ht="13.5" thickBot="1">
      <c r="V64" s="10"/>
    </row>
    <row r="65" spans="1:29" ht="29.25" customHeight="1">
      <c r="A65" s="1359" t="s">
        <v>212</v>
      </c>
      <c r="B65" s="1361" t="s">
        <v>22</v>
      </c>
      <c r="C65" s="1362"/>
      <c r="D65" s="1362"/>
      <c r="E65" s="1362"/>
      <c r="F65" s="1362"/>
      <c r="G65" s="1362"/>
      <c r="H65" s="1362"/>
      <c r="I65" s="1362"/>
      <c r="J65" s="1362"/>
      <c r="K65" s="1362"/>
      <c r="L65" s="1362"/>
      <c r="M65" s="1362"/>
      <c r="N65" s="1362"/>
      <c r="O65" s="1362"/>
      <c r="P65" s="1362"/>
      <c r="Q65" s="1363" t="s">
        <v>23</v>
      </c>
      <c r="R65" s="1364"/>
      <c r="S65" s="1364"/>
      <c r="T65" s="1364"/>
      <c r="U65" s="1364"/>
      <c r="V65" s="1364"/>
      <c r="W65" s="1364"/>
      <c r="X65" s="1364"/>
      <c r="Y65" s="1364"/>
      <c r="Z65" s="1364"/>
      <c r="AA65" s="1361"/>
      <c r="AB65" s="1365"/>
      <c r="AC65" s="484"/>
    </row>
    <row r="66" spans="1:29" ht="29.25" customHeight="1">
      <c r="A66" s="1360"/>
      <c r="B66" s="1366" t="s">
        <v>60</v>
      </c>
      <c r="C66" s="1367"/>
      <c r="D66" s="1367"/>
      <c r="E66" s="1367"/>
      <c r="F66" s="1367"/>
      <c r="G66" s="1367"/>
      <c r="H66" s="1368"/>
      <c r="I66" s="1366" t="s">
        <v>61</v>
      </c>
      <c r="J66" s="1367"/>
      <c r="K66" s="1367"/>
      <c r="L66" s="1367"/>
      <c r="M66" s="1367"/>
      <c r="N66" s="1367"/>
      <c r="O66" s="1367"/>
      <c r="P66" s="1367"/>
      <c r="Q66" s="1369" t="s">
        <v>60</v>
      </c>
      <c r="R66" s="1370"/>
      <c r="S66" s="1370"/>
      <c r="T66" s="1370"/>
      <c r="U66" s="1370"/>
      <c r="V66" s="1370" t="s">
        <v>61</v>
      </c>
      <c r="W66" s="1370"/>
      <c r="X66" s="1370"/>
      <c r="Y66" s="1370"/>
      <c r="Z66" s="1370"/>
      <c r="AA66" s="1366"/>
      <c r="AB66" s="1372"/>
      <c r="AC66" s="484"/>
    </row>
    <row r="67" spans="1:29" ht="29.25" customHeight="1">
      <c r="A67" s="260"/>
      <c r="B67" s="261" t="s">
        <v>216</v>
      </c>
      <c r="C67" s="261" t="s">
        <v>214</v>
      </c>
      <c r="D67" s="486" t="s">
        <v>219</v>
      </c>
      <c r="E67" s="261" t="s">
        <v>221</v>
      </c>
      <c r="F67" s="261" t="s">
        <v>419</v>
      </c>
      <c r="G67" s="261" t="s">
        <v>423</v>
      </c>
      <c r="H67" s="261" t="s">
        <v>224</v>
      </c>
      <c r="I67" s="261" t="s">
        <v>216</v>
      </c>
      <c r="J67" s="754" t="s">
        <v>214</v>
      </c>
      <c r="K67" s="759" t="s">
        <v>219</v>
      </c>
      <c r="L67" s="760" t="s">
        <v>221</v>
      </c>
      <c r="M67" s="261" t="s">
        <v>419</v>
      </c>
      <c r="N67" s="785" t="s">
        <v>423</v>
      </c>
      <c r="O67" s="785"/>
      <c r="P67" s="760" t="s">
        <v>224</v>
      </c>
      <c r="Q67" s="755" t="s">
        <v>216</v>
      </c>
      <c r="R67" s="261" t="s">
        <v>214</v>
      </c>
      <c r="S67" s="486" t="s">
        <v>219</v>
      </c>
      <c r="T67" s="261" t="s">
        <v>221</v>
      </c>
      <c r="U67" s="261" t="s">
        <v>381</v>
      </c>
      <c r="V67" s="261" t="s">
        <v>216</v>
      </c>
      <c r="W67" s="261" t="s">
        <v>214</v>
      </c>
      <c r="X67" s="486" t="s">
        <v>219</v>
      </c>
      <c r="Y67" s="261" t="s">
        <v>221</v>
      </c>
      <c r="Z67" s="261" t="s">
        <v>419</v>
      </c>
      <c r="AA67" s="785" t="s">
        <v>423</v>
      </c>
      <c r="AB67" s="261" t="s">
        <v>224</v>
      </c>
      <c r="AC67" s="484"/>
    </row>
    <row r="68" spans="1:29" ht="30.75" hidden="1">
      <c r="A68" s="20" t="s">
        <v>558</v>
      </c>
      <c r="B68" s="26"/>
      <c r="C68" s="26"/>
      <c r="D68" s="26"/>
      <c r="E68" s="26"/>
      <c r="F68" s="26">
        <v>348530</v>
      </c>
      <c r="G68" s="26">
        <v>348660</v>
      </c>
      <c r="H68" s="711"/>
      <c r="I68" s="26"/>
      <c r="J68" s="26"/>
      <c r="K68" s="26"/>
      <c r="L68" s="26"/>
      <c r="M68" s="333"/>
      <c r="N68" s="333"/>
      <c r="O68" s="333"/>
      <c r="P68" s="333"/>
      <c r="Q68" s="336"/>
      <c r="R68" s="23"/>
      <c r="S68" s="23"/>
      <c r="T68" s="23"/>
      <c r="U68" s="23"/>
      <c r="V68" s="26"/>
      <c r="W68" s="26"/>
      <c r="X68" s="26"/>
      <c r="Y68" s="26"/>
      <c r="Z68" s="23"/>
      <c r="AA68" s="332"/>
      <c r="AB68" s="44"/>
      <c r="AC68" s="484"/>
    </row>
    <row r="69" spans="1:29" ht="18" hidden="1">
      <c r="A69" s="20" t="s">
        <v>424</v>
      </c>
      <c r="B69" s="45"/>
      <c r="C69" s="45"/>
      <c r="D69" s="45"/>
      <c r="E69" s="45"/>
      <c r="F69" s="45"/>
      <c r="G69" s="45"/>
      <c r="H69" s="711"/>
      <c r="I69" s="45"/>
      <c r="J69" s="45"/>
      <c r="K69" s="45"/>
      <c r="L69" s="45"/>
      <c r="M69" s="337"/>
      <c r="N69" s="874"/>
      <c r="O69" s="871"/>
      <c r="P69" s="337"/>
      <c r="Q69" s="336"/>
      <c r="R69" s="23"/>
      <c r="S69" s="23"/>
      <c r="T69" s="23"/>
      <c r="U69" s="23"/>
      <c r="V69" s="26"/>
      <c r="W69" s="26"/>
      <c r="X69" s="26"/>
      <c r="Y69" s="26"/>
      <c r="Z69" s="23"/>
      <c r="AA69" s="332"/>
      <c r="AB69" s="44"/>
      <c r="AC69" s="484"/>
    </row>
    <row r="70" spans="1:29" ht="18" hidden="1">
      <c r="A70" s="46" t="s">
        <v>464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875"/>
      <c r="O70" s="872"/>
      <c r="P70" s="711"/>
      <c r="Q70" s="336"/>
      <c r="R70" s="23"/>
      <c r="S70" s="23"/>
      <c r="T70" s="23"/>
      <c r="U70" s="23"/>
      <c r="V70" s="26"/>
      <c r="W70" s="26"/>
      <c r="X70" s="26"/>
      <c r="Y70" s="26"/>
      <c r="Z70" s="23"/>
      <c r="AA70" s="332"/>
      <c r="AB70" s="44"/>
      <c r="AC70" s="484"/>
    </row>
    <row r="71" spans="1:29" ht="18">
      <c r="A71" s="46" t="s">
        <v>463</v>
      </c>
      <c r="B71" s="45"/>
      <c r="C71" s="45"/>
      <c r="D71" s="45"/>
      <c r="E71" s="45"/>
      <c r="F71" s="45"/>
      <c r="G71" s="45"/>
      <c r="H71" s="45"/>
      <c r="I71" s="45">
        <v>1135728</v>
      </c>
      <c r="J71" s="45">
        <v>1135728</v>
      </c>
      <c r="K71" s="45"/>
      <c r="L71" s="45"/>
      <c r="M71" s="45">
        <v>868968</v>
      </c>
      <c r="N71" s="875">
        <f>72414*8+80460*4</f>
        <v>901152</v>
      </c>
      <c r="O71" s="872"/>
      <c r="P71" s="711"/>
      <c r="Q71" s="336"/>
      <c r="R71" s="23"/>
      <c r="S71" s="23"/>
      <c r="T71" s="23"/>
      <c r="U71" s="23"/>
      <c r="V71" s="26"/>
      <c r="W71" s="26"/>
      <c r="X71" s="26"/>
      <c r="Y71" s="26"/>
      <c r="Z71" s="23"/>
      <c r="AA71" s="332"/>
      <c r="AB71" s="44"/>
      <c r="AC71" s="484"/>
    </row>
    <row r="72" spans="1:29" ht="30.75">
      <c r="A72" s="46" t="s">
        <v>595</v>
      </c>
      <c r="B72" s="45">
        <v>341770</v>
      </c>
      <c r="C72" s="45">
        <v>341770</v>
      </c>
      <c r="D72" s="45"/>
      <c r="E72" s="45"/>
      <c r="F72" s="45"/>
      <c r="G72" s="45"/>
      <c r="H72" s="45"/>
      <c r="I72" s="45"/>
      <c r="J72" s="45"/>
      <c r="K72" s="45"/>
      <c r="L72" s="45"/>
      <c r="M72" s="45">
        <v>308914</v>
      </c>
      <c r="N72" s="875">
        <f>154458+154457</f>
        <v>308915</v>
      </c>
      <c r="O72" s="872"/>
      <c r="P72" s="711"/>
      <c r="Q72" s="336"/>
      <c r="R72" s="23"/>
      <c r="S72" s="23"/>
      <c r="T72" s="23"/>
      <c r="U72" s="23"/>
      <c r="V72" s="26"/>
      <c r="W72" s="26"/>
      <c r="X72" s="26"/>
      <c r="Y72" s="26"/>
      <c r="Z72" s="23"/>
      <c r="AA72" s="332"/>
      <c r="AB72" s="44"/>
      <c r="AC72" s="484"/>
    </row>
    <row r="73" spans="1:29" ht="18" hidden="1">
      <c r="A73" s="46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337"/>
      <c r="P73" s="711"/>
      <c r="Q73" s="336"/>
      <c r="R73" s="23"/>
      <c r="S73" s="23"/>
      <c r="T73" s="23"/>
      <c r="U73" s="23"/>
      <c r="V73" s="26"/>
      <c r="W73" s="26"/>
      <c r="X73" s="26"/>
      <c r="Y73" s="26"/>
      <c r="Z73" s="23"/>
      <c r="AA73" s="332"/>
      <c r="AB73" s="44"/>
      <c r="AC73" s="484"/>
    </row>
    <row r="74" spans="1:29" ht="18" hidden="1">
      <c r="A74" s="46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>
        <v>86670</v>
      </c>
      <c r="N74" s="45">
        <v>66485</v>
      </c>
      <c r="O74" s="337"/>
      <c r="P74" s="711"/>
      <c r="Q74" s="336"/>
      <c r="R74" s="23"/>
      <c r="S74" s="23"/>
      <c r="T74" s="23"/>
      <c r="U74" s="23"/>
      <c r="V74" s="26"/>
      <c r="W74" s="26"/>
      <c r="X74" s="26"/>
      <c r="Y74" s="26"/>
      <c r="Z74" s="23"/>
      <c r="AA74" s="332"/>
      <c r="AB74" s="44"/>
      <c r="AC74" s="484"/>
    </row>
    <row r="75" spans="1:29" ht="18" hidden="1">
      <c r="A75" s="46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>
        <v>0</v>
      </c>
      <c r="N75" s="45"/>
      <c r="O75" s="337"/>
      <c r="P75" s="711"/>
      <c r="Q75" s="336"/>
      <c r="R75" s="23"/>
      <c r="S75" s="23"/>
      <c r="T75" s="23"/>
      <c r="U75" s="23"/>
      <c r="V75" s="26"/>
      <c r="W75" s="26"/>
      <c r="X75" s="26"/>
      <c r="Y75" s="26"/>
      <c r="Z75" s="23"/>
      <c r="AA75" s="332"/>
      <c r="AB75" s="44"/>
      <c r="AC75" s="484"/>
    </row>
    <row r="76" spans="1:29" ht="18" hidden="1">
      <c r="A76" s="46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337"/>
      <c r="P76" s="711"/>
      <c r="Q76" s="336"/>
      <c r="R76" s="23"/>
      <c r="S76" s="23"/>
      <c r="T76" s="23"/>
      <c r="U76" s="23"/>
      <c r="V76" s="26"/>
      <c r="W76" s="26"/>
      <c r="X76" s="26"/>
      <c r="Y76" s="26"/>
      <c r="Z76" s="23"/>
      <c r="AA76" s="332"/>
      <c r="AB76" s="44"/>
      <c r="AC76" s="484"/>
    </row>
    <row r="77" spans="1:29" ht="18">
      <c r="A77" s="46" t="s">
        <v>518</v>
      </c>
      <c r="B77" s="45"/>
      <c r="C77" s="45"/>
      <c r="D77" s="45"/>
      <c r="E77" s="45"/>
      <c r="F77" s="45"/>
      <c r="G77" s="45"/>
      <c r="H77" s="45"/>
      <c r="I77" s="45">
        <v>239220</v>
      </c>
      <c r="J77" s="45">
        <v>239220</v>
      </c>
      <c r="K77" s="45"/>
      <c r="L77" s="45"/>
      <c r="M77" s="45">
        <f>241290+241380</f>
        <v>482670</v>
      </c>
      <c r="N77" s="45">
        <f>241290+241380</f>
        <v>482670</v>
      </c>
      <c r="O77" s="337"/>
      <c r="P77" s="711"/>
      <c r="Q77" s="336"/>
      <c r="R77" s="23"/>
      <c r="S77" s="23"/>
      <c r="T77" s="23"/>
      <c r="U77" s="23"/>
      <c r="V77" s="26"/>
      <c r="W77" s="26"/>
      <c r="X77" s="26"/>
      <c r="Y77" s="26"/>
      <c r="Z77" s="23"/>
      <c r="AA77" s="332"/>
      <c r="AB77" s="44"/>
      <c r="AC77" s="484"/>
    </row>
    <row r="78" spans="1:29" ht="39" customHeight="1">
      <c r="A78" s="46" t="s">
        <v>576</v>
      </c>
      <c r="B78" s="45">
        <v>143748439</v>
      </c>
      <c r="C78" s="45">
        <v>143748439</v>
      </c>
      <c r="D78" s="45"/>
      <c r="E78" s="45"/>
      <c r="F78" s="45"/>
      <c r="G78" s="45"/>
      <c r="H78" s="711"/>
      <c r="I78" s="45"/>
      <c r="J78" s="45"/>
      <c r="K78" s="45"/>
      <c r="L78" s="45"/>
      <c r="M78" s="45"/>
      <c r="N78" s="45"/>
      <c r="O78" s="337"/>
      <c r="P78" s="337"/>
      <c r="Q78" s="336"/>
      <c r="R78" s="23"/>
      <c r="S78" s="23"/>
      <c r="T78" s="23"/>
      <c r="U78" s="23"/>
      <c r="V78" s="26"/>
      <c r="W78" s="26"/>
      <c r="X78" s="26"/>
      <c r="Y78" s="26"/>
      <c r="Z78" s="23"/>
      <c r="AA78" s="332"/>
      <c r="AB78" s="44"/>
      <c r="AC78" s="484"/>
    </row>
    <row r="79" spans="1:29" ht="39" customHeight="1" hidden="1">
      <c r="A79" s="46" t="s">
        <v>507</v>
      </c>
      <c r="B79" s="45"/>
      <c r="C79" s="45"/>
      <c r="D79" s="45"/>
      <c r="E79" s="45"/>
      <c r="F79" s="45"/>
      <c r="G79" s="45"/>
      <c r="H79" s="982"/>
      <c r="I79" s="45"/>
      <c r="J79" s="45"/>
      <c r="K79" s="45"/>
      <c r="L79" s="45"/>
      <c r="M79" s="45"/>
      <c r="N79" s="45"/>
      <c r="O79" s="337"/>
      <c r="P79" s="337"/>
      <c r="Q79" s="336"/>
      <c r="R79" s="23"/>
      <c r="S79" s="23"/>
      <c r="T79" s="23"/>
      <c r="U79" s="23"/>
      <c r="V79" s="26"/>
      <c r="W79" s="26"/>
      <c r="X79" s="26"/>
      <c r="Y79" s="26"/>
      <c r="Z79" s="23"/>
      <c r="AA79" s="332"/>
      <c r="AB79" s="44"/>
      <c r="AC79" s="484"/>
    </row>
    <row r="80" spans="1:29" ht="18" hidden="1">
      <c r="A80" s="46" t="s">
        <v>228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>
        <v>12000</v>
      </c>
      <c r="N80" s="45"/>
      <c r="O80" s="337"/>
      <c r="P80" s="337"/>
      <c r="Q80" s="336"/>
      <c r="R80" s="23"/>
      <c r="S80" s="23"/>
      <c r="T80" s="23"/>
      <c r="U80" s="23"/>
      <c r="V80" s="26"/>
      <c r="W80" s="26"/>
      <c r="X80" s="26"/>
      <c r="Y80" s="26"/>
      <c r="Z80" s="23"/>
      <c r="AA80" s="332"/>
      <c r="AB80" s="44"/>
      <c r="AC80" s="484"/>
    </row>
    <row r="81" spans="1:29" ht="18">
      <c r="A81" s="46" t="s">
        <v>495</v>
      </c>
      <c r="B81" s="45">
        <v>500000</v>
      </c>
      <c r="C81" s="45">
        <v>500000</v>
      </c>
      <c r="D81" s="45"/>
      <c r="E81" s="45"/>
      <c r="F81" s="45"/>
      <c r="G81" s="45">
        <v>530000</v>
      </c>
      <c r="H81" s="45"/>
      <c r="I81" s="45"/>
      <c r="J81" s="45"/>
      <c r="K81" s="45"/>
      <c r="L81" s="45"/>
      <c r="M81" s="45"/>
      <c r="N81" s="45"/>
      <c r="O81" s="337"/>
      <c r="P81" s="337"/>
      <c r="Q81" s="336"/>
      <c r="R81" s="23"/>
      <c r="S81" s="23"/>
      <c r="T81" s="23"/>
      <c r="U81" s="23"/>
      <c r="V81" s="26"/>
      <c r="W81" s="26"/>
      <c r="X81" s="26"/>
      <c r="Y81" s="26"/>
      <c r="Z81" s="23"/>
      <c r="AA81" s="332"/>
      <c r="AB81" s="44"/>
      <c r="AC81" s="484"/>
    </row>
    <row r="82" spans="1:29" ht="47.25" customHeight="1" hidden="1">
      <c r="A82" s="46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337"/>
      <c r="P82" s="337"/>
      <c r="Q82" s="336"/>
      <c r="R82" s="23"/>
      <c r="S82" s="23"/>
      <c r="T82" s="23"/>
      <c r="U82" s="23"/>
      <c r="V82" s="26"/>
      <c r="W82" s="26"/>
      <c r="X82" s="26"/>
      <c r="Y82" s="26"/>
      <c r="Z82" s="23"/>
      <c r="AA82" s="332"/>
      <c r="AB82" s="44"/>
      <c r="AC82" s="484"/>
    </row>
    <row r="83" spans="1:29" ht="39" customHeight="1" hidden="1">
      <c r="A83" s="209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337"/>
      <c r="P83" s="337"/>
      <c r="Q83" s="336"/>
      <c r="R83" s="23"/>
      <c r="S83" s="23"/>
      <c r="T83" s="23"/>
      <c r="U83" s="23"/>
      <c r="V83" s="26"/>
      <c r="W83" s="26"/>
      <c r="X83" s="26"/>
      <c r="Y83" s="26"/>
      <c r="Z83" s="23"/>
      <c r="AA83" s="332"/>
      <c r="AB83" s="44"/>
      <c r="AC83" s="484"/>
    </row>
    <row r="84" spans="1:29" ht="39" customHeight="1" hidden="1">
      <c r="A84" s="209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337"/>
      <c r="P84" s="337"/>
      <c r="Q84" s="336"/>
      <c r="R84" s="23"/>
      <c r="S84" s="23"/>
      <c r="T84" s="23"/>
      <c r="U84" s="23"/>
      <c r="V84" s="26"/>
      <c r="W84" s="26"/>
      <c r="X84" s="26"/>
      <c r="Y84" s="26"/>
      <c r="Z84" s="23"/>
      <c r="AA84" s="332"/>
      <c r="AB84" s="44"/>
      <c r="AC84" s="484"/>
    </row>
    <row r="85" spans="1:29" ht="39" customHeight="1" hidden="1">
      <c r="A85" s="209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337"/>
      <c r="P85" s="337"/>
      <c r="Q85" s="336"/>
      <c r="R85" s="23"/>
      <c r="S85" s="23"/>
      <c r="T85" s="23"/>
      <c r="U85" s="23"/>
      <c r="V85" s="26"/>
      <c r="W85" s="26"/>
      <c r="X85" s="26"/>
      <c r="Y85" s="26"/>
      <c r="Z85" s="23"/>
      <c r="AA85" s="332"/>
      <c r="AB85" s="44"/>
      <c r="AC85" s="484"/>
    </row>
    <row r="86" spans="1:29" ht="39" customHeight="1" hidden="1">
      <c r="A86" s="209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337"/>
      <c r="P86" s="337"/>
      <c r="Q86" s="336"/>
      <c r="R86" s="23"/>
      <c r="S86" s="23"/>
      <c r="T86" s="23"/>
      <c r="U86" s="23"/>
      <c r="V86" s="26"/>
      <c r="W86" s="26"/>
      <c r="X86" s="26"/>
      <c r="Y86" s="26"/>
      <c r="Z86" s="23"/>
      <c r="AA86" s="332"/>
      <c r="AB86" s="44"/>
      <c r="AC86" s="484"/>
    </row>
    <row r="87" spans="1:29" ht="39" customHeight="1" hidden="1">
      <c r="A87" s="209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337"/>
      <c r="P87" s="337"/>
      <c r="Q87" s="336"/>
      <c r="R87" s="23"/>
      <c r="S87" s="23"/>
      <c r="T87" s="23"/>
      <c r="U87" s="23"/>
      <c r="V87" s="26"/>
      <c r="W87" s="26"/>
      <c r="X87" s="26"/>
      <c r="Y87" s="26"/>
      <c r="Z87" s="23"/>
      <c r="AA87" s="332"/>
      <c r="AB87" s="44"/>
      <c r="AC87" s="484"/>
    </row>
    <row r="88" spans="1:29" ht="39" customHeight="1" hidden="1">
      <c r="A88" s="209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337"/>
      <c r="P88" s="337"/>
      <c r="Q88" s="336"/>
      <c r="R88" s="23"/>
      <c r="S88" s="23"/>
      <c r="T88" s="23"/>
      <c r="U88" s="23"/>
      <c r="V88" s="26"/>
      <c r="W88" s="26"/>
      <c r="X88" s="26"/>
      <c r="Y88" s="26"/>
      <c r="Z88" s="23"/>
      <c r="AA88" s="332"/>
      <c r="AB88" s="44"/>
      <c r="AC88" s="484"/>
    </row>
    <row r="89" spans="1:29" s="12" customFormat="1" ht="27" customHeight="1" thickBot="1">
      <c r="A89" s="22" t="s">
        <v>1</v>
      </c>
      <c r="B89" s="28">
        <f aca="true" t="shared" si="2" ref="B89:G89">SUM(B68:B83)</f>
        <v>144590209</v>
      </c>
      <c r="C89" s="28">
        <f>SUM(C68:C83)</f>
        <v>144590209</v>
      </c>
      <c r="D89" s="28">
        <f>SUM(D68:D83)</f>
        <v>0</v>
      </c>
      <c r="E89" s="28">
        <f t="shared" si="2"/>
        <v>0</v>
      </c>
      <c r="F89" s="28">
        <f t="shared" si="2"/>
        <v>348530</v>
      </c>
      <c r="G89" s="28">
        <f t="shared" si="2"/>
        <v>878660</v>
      </c>
      <c r="H89" s="715" t="e">
        <f>F89/E89</f>
        <v>#DIV/0!</v>
      </c>
      <c r="I89" s="714">
        <f aca="true" t="shared" si="3" ref="I89:V89">SUM(I68:I83)</f>
        <v>1374948</v>
      </c>
      <c r="J89" s="714">
        <f>SUM(J68:J83)</f>
        <v>1374948</v>
      </c>
      <c r="K89" s="714">
        <f>SUM(K68:K83)</f>
        <v>0</v>
      </c>
      <c r="L89" s="714">
        <f>SUM(L68:L83)</f>
        <v>0</v>
      </c>
      <c r="M89" s="714">
        <f>SUM(M68:M83)</f>
        <v>1759222</v>
      </c>
      <c r="N89" s="714">
        <f>SUM(N68:N83)</f>
        <v>1759222</v>
      </c>
      <c r="O89" s="714"/>
      <c r="P89" s="715" t="e">
        <f>M89/L89</f>
        <v>#DIV/0!</v>
      </c>
      <c r="Q89" s="713">
        <f t="shared" si="3"/>
        <v>0</v>
      </c>
      <c r="R89" s="28">
        <f t="shared" si="3"/>
        <v>0</v>
      </c>
      <c r="S89" s="28">
        <f t="shared" si="3"/>
        <v>0</v>
      </c>
      <c r="T89" s="28">
        <f t="shared" si="3"/>
        <v>0</v>
      </c>
      <c r="U89" s="28">
        <f t="shared" si="3"/>
        <v>0</v>
      </c>
      <c r="V89" s="28">
        <f t="shared" si="3"/>
        <v>0</v>
      </c>
      <c r="W89" s="28">
        <f>SUM(W68:W88)</f>
        <v>0</v>
      </c>
      <c r="X89" s="28"/>
      <c r="Y89" s="28"/>
      <c r="Z89" s="28"/>
      <c r="AA89" s="784"/>
      <c r="AB89" s="231"/>
      <c r="AC89" s="484"/>
    </row>
    <row r="90" spans="1:28" ht="18">
      <c r="A90" s="1024"/>
      <c r="B90" s="1028"/>
      <c r="C90" s="14"/>
      <c r="D90" s="14"/>
      <c r="E90" s="14"/>
      <c r="F90" s="14"/>
      <c r="G90" s="1025"/>
      <c r="H90" s="1025"/>
      <c r="I90" s="1026"/>
      <c r="J90" s="1025"/>
      <c r="K90" s="1025"/>
      <c r="L90" s="1025"/>
      <c r="M90" s="1026"/>
      <c r="N90" s="1026"/>
      <c r="O90" s="1026"/>
      <c r="P90" s="14"/>
      <c r="Q90" s="14"/>
      <c r="R90" s="14"/>
      <c r="S90" s="14"/>
      <c r="T90" s="14"/>
      <c r="U90" s="14"/>
      <c r="V90" s="873"/>
      <c r="W90" s="14"/>
      <c r="X90" s="14"/>
      <c r="Y90" s="14"/>
      <c r="Z90" s="14"/>
      <c r="AA90" s="14"/>
      <c r="AB90" s="14"/>
    </row>
    <row r="91" spans="1:28" ht="14.25" hidden="1">
      <c r="A91" s="1371"/>
      <c r="B91" s="1371"/>
      <c r="C91" s="1371"/>
      <c r="D91" s="1371"/>
      <c r="E91" s="1371"/>
      <c r="F91" s="1371"/>
      <c r="G91" s="1371"/>
      <c r="H91" s="1371"/>
      <c r="I91" s="1371"/>
      <c r="J91" s="1371"/>
      <c r="K91" s="1371"/>
      <c r="L91" s="1371"/>
      <c r="M91" s="1371"/>
      <c r="N91" s="1371"/>
      <c r="O91" s="1371"/>
      <c r="P91" s="1371"/>
      <c r="Q91" s="1371"/>
      <c r="R91" s="1371"/>
      <c r="S91" s="1371"/>
      <c r="T91" s="1371"/>
      <c r="U91" s="1371"/>
      <c r="V91" s="1371"/>
      <c r="W91" s="14"/>
      <c r="X91" s="14"/>
      <c r="Y91" s="14"/>
      <c r="Z91" s="14"/>
      <c r="AA91" s="14"/>
      <c r="AB91" s="14"/>
    </row>
    <row r="92" spans="1:28" ht="18.75" hidden="1" thickBot="1">
      <c r="A92" s="1027"/>
      <c r="B92" s="14"/>
      <c r="C92" s="14"/>
      <c r="D92" s="14"/>
      <c r="E92" s="1028"/>
      <c r="F92" s="1028"/>
      <c r="G92" s="1028"/>
      <c r="H92" s="14"/>
      <c r="I92" s="14"/>
      <c r="J92" s="14"/>
      <c r="K92" s="14"/>
      <c r="L92" s="14"/>
      <c r="M92" s="14"/>
      <c r="N92" s="1029"/>
      <c r="O92" s="1029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</row>
    <row r="93" spans="1:28" ht="15.75" hidden="1">
      <c r="A93" s="1374"/>
      <c r="B93" s="1376"/>
      <c r="C93" s="1377"/>
      <c r="D93" s="1377"/>
      <c r="E93" s="1377"/>
      <c r="F93" s="1377"/>
      <c r="G93" s="1377"/>
      <c r="H93" s="1377"/>
      <c r="I93" s="1377"/>
      <c r="J93" s="1377"/>
      <c r="K93" s="1377"/>
      <c r="L93" s="1377"/>
      <c r="M93" s="1377"/>
      <c r="N93" s="1377"/>
      <c r="O93" s="1377"/>
      <c r="P93" s="1377"/>
      <c r="Q93" s="1378"/>
      <c r="R93" s="1379"/>
      <c r="S93" s="1379"/>
      <c r="T93" s="1379"/>
      <c r="U93" s="1379"/>
      <c r="V93" s="1379"/>
      <c r="W93" s="1379"/>
      <c r="X93" s="1379"/>
      <c r="Y93" s="1379"/>
      <c r="Z93" s="1379"/>
      <c r="AA93" s="1376"/>
      <c r="AB93" s="1380"/>
    </row>
    <row r="94" spans="1:28" ht="15.75" hidden="1">
      <c r="A94" s="1375"/>
      <c r="B94" s="1381"/>
      <c r="C94" s="1382"/>
      <c r="D94" s="1382"/>
      <c r="E94" s="1382"/>
      <c r="F94" s="1382"/>
      <c r="G94" s="1382"/>
      <c r="H94" s="1383"/>
      <c r="I94" s="1381"/>
      <c r="J94" s="1382"/>
      <c r="K94" s="1382"/>
      <c r="L94" s="1382"/>
      <c r="M94" s="1382"/>
      <c r="N94" s="1382"/>
      <c r="O94" s="1382"/>
      <c r="P94" s="1382"/>
      <c r="Q94" s="1384"/>
      <c r="R94" s="1385"/>
      <c r="S94" s="1385"/>
      <c r="T94" s="1385"/>
      <c r="U94" s="1385"/>
      <c r="V94" s="1385"/>
      <c r="W94" s="1385"/>
      <c r="X94" s="1385"/>
      <c r="Y94" s="1385"/>
      <c r="Z94" s="1385"/>
      <c r="AA94" s="1381"/>
      <c r="AB94" s="1386"/>
    </row>
    <row r="95" spans="1:28" ht="15.75" hidden="1">
      <c r="A95" s="1030"/>
      <c r="B95" s="1033"/>
      <c r="C95" s="1033"/>
      <c r="D95" s="1034"/>
      <c r="E95" s="1033"/>
      <c r="F95" s="1033"/>
      <c r="G95" s="1033"/>
      <c r="H95" s="1033"/>
      <c r="I95" s="1033"/>
      <c r="J95" s="1032"/>
      <c r="K95" s="1035"/>
      <c r="L95" s="1036"/>
      <c r="M95" s="1033"/>
      <c r="N95" s="1037"/>
      <c r="O95" s="1037"/>
      <c r="P95" s="1036"/>
      <c r="Q95" s="1031"/>
      <c r="R95" s="1033"/>
      <c r="S95" s="1034"/>
      <c r="T95" s="1033"/>
      <c r="U95" s="1033"/>
      <c r="V95" s="1033"/>
      <c r="W95" s="1033"/>
      <c r="X95" s="1034"/>
      <c r="Y95" s="1033"/>
      <c r="Z95" s="1033"/>
      <c r="AA95" s="1037"/>
      <c r="AB95" s="1033"/>
    </row>
    <row r="96" spans="1:28" ht="18" hidden="1">
      <c r="A96" s="21"/>
      <c r="B96" s="23"/>
      <c r="C96" s="23"/>
      <c r="D96" s="23"/>
      <c r="E96" s="23"/>
      <c r="F96" s="23"/>
      <c r="G96" s="23"/>
      <c r="H96" s="711"/>
      <c r="I96" s="23"/>
      <c r="J96" s="23"/>
      <c r="K96" s="23"/>
      <c r="L96" s="23"/>
      <c r="M96" s="332"/>
      <c r="N96" s="332"/>
      <c r="O96" s="332"/>
      <c r="P96" s="332"/>
      <c r="Q96" s="336"/>
      <c r="R96" s="23"/>
      <c r="S96" s="23"/>
      <c r="T96" s="23"/>
      <c r="U96" s="23"/>
      <c r="V96" s="23"/>
      <c r="W96" s="23"/>
      <c r="X96" s="23"/>
      <c r="Y96" s="23"/>
      <c r="Z96" s="23"/>
      <c r="AA96" s="332"/>
      <c r="AB96" s="44"/>
    </row>
    <row r="97" spans="1:28" ht="18" hidden="1">
      <c r="A97" s="21"/>
      <c r="B97" s="875"/>
      <c r="C97" s="875"/>
      <c r="D97" s="875"/>
      <c r="E97" s="875"/>
      <c r="F97" s="875"/>
      <c r="G97" s="875"/>
      <c r="H97" s="711"/>
      <c r="I97" s="875"/>
      <c r="J97" s="875"/>
      <c r="K97" s="875"/>
      <c r="L97" s="875"/>
      <c r="M97" s="874"/>
      <c r="N97" s="874"/>
      <c r="O97" s="874"/>
      <c r="P97" s="874"/>
      <c r="Q97" s="336"/>
      <c r="R97" s="23"/>
      <c r="S97" s="23"/>
      <c r="T97" s="23"/>
      <c r="U97" s="23"/>
      <c r="V97" s="23"/>
      <c r="W97" s="23"/>
      <c r="X97" s="23"/>
      <c r="Y97" s="23"/>
      <c r="Z97" s="23"/>
      <c r="AA97" s="332"/>
      <c r="AB97" s="44"/>
    </row>
    <row r="98" spans="1:28" ht="18" hidden="1">
      <c r="A98" s="209"/>
      <c r="B98" s="875"/>
      <c r="C98" s="875"/>
      <c r="D98" s="875"/>
      <c r="E98" s="875"/>
      <c r="F98" s="875"/>
      <c r="G98" s="875"/>
      <c r="H98" s="875"/>
      <c r="I98" s="875"/>
      <c r="J98" s="875"/>
      <c r="K98" s="875"/>
      <c r="L98" s="875"/>
      <c r="M98" s="875"/>
      <c r="N98" s="875"/>
      <c r="O98" s="874"/>
      <c r="P98" s="711"/>
      <c r="Q98" s="336"/>
      <c r="R98" s="23"/>
      <c r="S98" s="23"/>
      <c r="T98" s="23"/>
      <c r="U98" s="23"/>
      <c r="V98" s="23"/>
      <c r="W98" s="23"/>
      <c r="X98" s="23"/>
      <c r="Y98" s="23"/>
      <c r="Z98" s="23"/>
      <c r="AA98" s="332"/>
      <c r="AB98" s="44"/>
    </row>
    <row r="99" spans="1:28" ht="18" hidden="1">
      <c r="A99" s="209"/>
      <c r="B99" s="875"/>
      <c r="C99" s="875"/>
      <c r="D99" s="875"/>
      <c r="E99" s="875"/>
      <c r="F99" s="875"/>
      <c r="G99" s="875"/>
      <c r="H99" s="875"/>
      <c r="I99" s="875"/>
      <c r="J99" s="875"/>
      <c r="K99" s="875"/>
      <c r="L99" s="875"/>
      <c r="M99" s="875"/>
      <c r="N99" s="875"/>
      <c r="O99" s="874"/>
      <c r="P99" s="711"/>
      <c r="Q99" s="336"/>
      <c r="R99" s="23"/>
      <c r="S99" s="23"/>
      <c r="T99" s="23"/>
      <c r="U99" s="23"/>
      <c r="V99" s="23"/>
      <c r="W99" s="23"/>
      <c r="X99" s="23"/>
      <c r="Y99" s="23"/>
      <c r="Z99" s="23"/>
      <c r="AA99" s="332"/>
      <c r="AB99" s="44"/>
    </row>
    <row r="100" spans="1:28" ht="18" hidden="1">
      <c r="A100" s="209"/>
      <c r="B100" s="875"/>
      <c r="C100" s="875"/>
      <c r="D100" s="875"/>
      <c r="E100" s="875"/>
      <c r="F100" s="875"/>
      <c r="G100" s="875"/>
      <c r="H100" s="875"/>
      <c r="I100" s="875"/>
      <c r="J100" s="875"/>
      <c r="K100" s="875"/>
      <c r="L100" s="875"/>
      <c r="M100" s="875"/>
      <c r="N100" s="875"/>
      <c r="O100" s="874"/>
      <c r="P100" s="711"/>
      <c r="Q100" s="336"/>
      <c r="R100" s="23"/>
      <c r="S100" s="23"/>
      <c r="T100" s="23"/>
      <c r="U100" s="23"/>
      <c r="V100" s="23"/>
      <c r="W100" s="23"/>
      <c r="X100" s="23"/>
      <c r="Y100" s="23"/>
      <c r="Z100" s="23"/>
      <c r="AA100" s="332"/>
      <c r="AB100" s="44"/>
    </row>
    <row r="101" spans="1:28" ht="18" hidden="1">
      <c r="A101" s="209"/>
      <c r="B101" s="875"/>
      <c r="C101" s="875"/>
      <c r="D101" s="875"/>
      <c r="E101" s="875"/>
      <c r="F101" s="875"/>
      <c r="G101" s="875"/>
      <c r="H101" s="875"/>
      <c r="I101" s="875"/>
      <c r="J101" s="875"/>
      <c r="K101" s="875"/>
      <c r="L101" s="875"/>
      <c r="M101" s="875"/>
      <c r="N101" s="875"/>
      <c r="O101" s="874"/>
      <c r="P101" s="711"/>
      <c r="Q101" s="336"/>
      <c r="R101" s="23"/>
      <c r="S101" s="23"/>
      <c r="T101" s="23"/>
      <c r="U101" s="23"/>
      <c r="V101" s="23"/>
      <c r="W101" s="23"/>
      <c r="X101" s="23"/>
      <c r="Y101" s="23"/>
      <c r="Z101" s="23"/>
      <c r="AA101" s="332"/>
      <c r="AB101" s="44"/>
    </row>
    <row r="102" spans="1:28" ht="18" hidden="1">
      <c r="A102" s="209"/>
      <c r="B102" s="875"/>
      <c r="C102" s="875"/>
      <c r="D102" s="875"/>
      <c r="E102" s="875"/>
      <c r="F102" s="875"/>
      <c r="G102" s="875"/>
      <c r="H102" s="875"/>
      <c r="I102" s="875"/>
      <c r="J102" s="875"/>
      <c r="K102" s="875"/>
      <c r="L102" s="875"/>
      <c r="M102" s="875"/>
      <c r="N102" s="875"/>
      <c r="O102" s="874"/>
      <c r="P102" s="711"/>
      <c r="Q102" s="336"/>
      <c r="R102" s="23"/>
      <c r="S102" s="23"/>
      <c r="T102" s="23"/>
      <c r="U102" s="23"/>
      <c r="V102" s="23"/>
      <c r="W102" s="23"/>
      <c r="X102" s="23"/>
      <c r="Y102" s="23"/>
      <c r="Z102" s="23"/>
      <c r="AA102" s="332"/>
      <c r="AB102" s="44"/>
    </row>
    <row r="103" spans="1:28" ht="18" hidden="1">
      <c r="A103" s="209"/>
      <c r="B103" s="875"/>
      <c r="C103" s="875"/>
      <c r="D103" s="875"/>
      <c r="E103" s="875"/>
      <c r="F103" s="875"/>
      <c r="G103" s="875"/>
      <c r="H103" s="875"/>
      <c r="I103" s="875"/>
      <c r="J103" s="875"/>
      <c r="K103" s="875"/>
      <c r="L103" s="875"/>
      <c r="M103" s="875"/>
      <c r="N103" s="875"/>
      <c r="O103" s="874"/>
      <c r="P103" s="711"/>
      <c r="Q103" s="336"/>
      <c r="R103" s="23"/>
      <c r="S103" s="23"/>
      <c r="T103" s="23"/>
      <c r="U103" s="23"/>
      <c r="V103" s="23"/>
      <c r="W103" s="23"/>
      <c r="X103" s="23"/>
      <c r="Y103" s="23"/>
      <c r="Z103" s="23"/>
      <c r="AA103" s="332"/>
      <c r="AB103" s="44"/>
    </row>
    <row r="104" spans="1:28" ht="18" hidden="1">
      <c r="A104" s="209"/>
      <c r="B104" s="875"/>
      <c r="C104" s="875"/>
      <c r="D104" s="875"/>
      <c r="E104" s="875"/>
      <c r="F104" s="875"/>
      <c r="G104" s="875"/>
      <c r="H104" s="875"/>
      <c r="I104" s="875"/>
      <c r="J104" s="875"/>
      <c r="K104" s="875"/>
      <c r="L104" s="875"/>
      <c r="M104" s="875"/>
      <c r="N104" s="875"/>
      <c r="O104" s="874"/>
      <c r="P104" s="711"/>
      <c r="Q104" s="336"/>
      <c r="R104" s="23"/>
      <c r="S104" s="23"/>
      <c r="T104" s="23"/>
      <c r="U104" s="23"/>
      <c r="V104" s="23"/>
      <c r="W104" s="23"/>
      <c r="X104" s="23"/>
      <c r="Y104" s="23"/>
      <c r="Z104" s="23"/>
      <c r="AA104" s="332"/>
      <c r="AB104" s="44"/>
    </row>
    <row r="105" spans="1:28" ht="18" hidden="1">
      <c r="A105" s="209"/>
      <c r="B105" s="875"/>
      <c r="C105" s="875"/>
      <c r="D105" s="875"/>
      <c r="E105" s="875"/>
      <c r="F105" s="875"/>
      <c r="G105" s="875"/>
      <c r="H105" s="875"/>
      <c r="I105" s="875"/>
      <c r="J105" s="875"/>
      <c r="K105" s="875"/>
      <c r="L105" s="875"/>
      <c r="M105" s="875"/>
      <c r="N105" s="875"/>
      <c r="O105" s="874"/>
      <c r="P105" s="711"/>
      <c r="Q105" s="336"/>
      <c r="R105" s="23"/>
      <c r="S105" s="23"/>
      <c r="T105" s="23"/>
      <c r="U105" s="23"/>
      <c r="V105" s="23"/>
      <c r="W105" s="23"/>
      <c r="X105" s="23"/>
      <c r="Y105" s="23"/>
      <c r="Z105" s="23"/>
      <c r="AA105" s="332"/>
      <c r="AB105" s="44"/>
    </row>
    <row r="106" spans="1:28" ht="18" hidden="1">
      <c r="A106" s="209"/>
      <c r="B106" s="875"/>
      <c r="C106" s="875"/>
      <c r="D106" s="875"/>
      <c r="E106" s="875"/>
      <c r="F106" s="875"/>
      <c r="G106" s="875"/>
      <c r="H106" s="711"/>
      <c r="I106" s="875"/>
      <c r="J106" s="875"/>
      <c r="K106" s="875"/>
      <c r="L106" s="875"/>
      <c r="M106" s="875"/>
      <c r="N106" s="875"/>
      <c r="O106" s="874"/>
      <c r="P106" s="874"/>
      <c r="Q106" s="336"/>
      <c r="R106" s="23"/>
      <c r="S106" s="23"/>
      <c r="T106" s="23"/>
      <c r="U106" s="23"/>
      <c r="V106" s="23"/>
      <c r="W106" s="23"/>
      <c r="X106" s="23"/>
      <c r="Y106" s="23"/>
      <c r="Z106" s="23"/>
      <c r="AA106" s="332"/>
      <c r="AB106" s="44"/>
    </row>
    <row r="107" spans="1:28" ht="18" hidden="1">
      <c r="A107" s="209"/>
      <c r="B107" s="875"/>
      <c r="C107" s="875"/>
      <c r="D107" s="875"/>
      <c r="E107" s="875"/>
      <c r="F107" s="875"/>
      <c r="G107" s="875"/>
      <c r="H107" s="875"/>
      <c r="I107" s="875"/>
      <c r="J107" s="875"/>
      <c r="K107" s="875"/>
      <c r="L107" s="875"/>
      <c r="M107" s="875"/>
      <c r="N107" s="875"/>
      <c r="O107" s="874"/>
      <c r="P107" s="874"/>
      <c r="Q107" s="336"/>
      <c r="R107" s="23"/>
      <c r="S107" s="23"/>
      <c r="T107" s="23"/>
      <c r="U107" s="23"/>
      <c r="V107" s="23"/>
      <c r="W107" s="23"/>
      <c r="X107" s="23"/>
      <c r="Y107" s="23"/>
      <c r="Z107" s="23"/>
      <c r="AA107" s="332"/>
      <c r="AB107" s="44"/>
    </row>
    <row r="108" spans="1:28" ht="18" hidden="1">
      <c r="A108" s="209"/>
      <c r="B108" s="875"/>
      <c r="C108" s="875"/>
      <c r="D108" s="875"/>
      <c r="E108" s="875"/>
      <c r="F108" s="875"/>
      <c r="G108" s="875"/>
      <c r="H108" s="875"/>
      <c r="I108" s="875"/>
      <c r="J108" s="875"/>
      <c r="K108" s="875"/>
      <c r="L108" s="875"/>
      <c r="M108" s="875"/>
      <c r="N108" s="875"/>
      <c r="O108" s="874"/>
      <c r="P108" s="874"/>
      <c r="Q108" s="336"/>
      <c r="R108" s="23"/>
      <c r="S108" s="23"/>
      <c r="T108" s="23"/>
      <c r="U108" s="23"/>
      <c r="V108" s="23"/>
      <c r="W108" s="23"/>
      <c r="X108" s="23"/>
      <c r="Y108" s="23"/>
      <c r="Z108" s="23"/>
      <c r="AA108" s="332"/>
      <c r="AB108" s="44"/>
    </row>
    <row r="109" spans="1:28" ht="18" hidden="1">
      <c r="A109" s="209"/>
      <c r="B109" s="875"/>
      <c r="C109" s="875"/>
      <c r="D109" s="875"/>
      <c r="E109" s="875"/>
      <c r="F109" s="875"/>
      <c r="G109" s="875"/>
      <c r="H109" s="875"/>
      <c r="I109" s="875"/>
      <c r="J109" s="875"/>
      <c r="K109" s="875"/>
      <c r="L109" s="875"/>
      <c r="M109" s="875"/>
      <c r="N109" s="875"/>
      <c r="O109" s="874"/>
      <c r="P109" s="874"/>
      <c r="Q109" s="336"/>
      <c r="R109" s="23"/>
      <c r="S109" s="23"/>
      <c r="T109" s="23"/>
      <c r="U109" s="23"/>
      <c r="V109" s="23"/>
      <c r="W109" s="23"/>
      <c r="X109" s="23"/>
      <c r="Y109" s="23"/>
      <c r="Z109" s="23"/>
      <c r="AA109" s="332"/>
      <c r="AB109" s="44"/>
    </row>
    <row r="110" spans="1:28" ht="18" hidden="1">
      <c r="A110" s="209"/>
      <c r="B110" s="875"/>
      <c r="C110" s="875"/>
      <c r="D110" s="875"/>
      <c r="E110" s="875"/>
      <c r="F110" s="875"/>
      <c r="G110" s="875"/>
      <c r="H110" s="875"/>
      <c r="I110" s="875"/>
      <c r="J110" s="875"/>
      <c r="K110" s="875"/>
      <c r="L110" s="875"/>
      <c r="M110" s="875"/>
      <c r="N110" s="875"/>
      <c r="O110" s="874"/>
      <c r="P110" s="874"/>
      <c r="Q110" s="336"/>
      <c r="R110" s="23"/>
      <c r="S110" s="23"/>
      <c r="T110" s="23"/>
      <c r="U110" s="23"/>
      <c r="V110" s="23"/>
      <c r="W110" s="23"/>
      <c r="X110" s="23"/>
      <c r="Y110" s="23"/>
      <c r="Z110" s="23"/>
      <c r="AA110" s="332"/>
      <c r="AB110" s="44"/>
    </row>
    <row r="111" spans="1:28" ht="18" hidden="1">
      <c r="A111" s="209"/>
      <c r="B111" s="875"/>
      <c r="C111" s="875"/>
      <c r="D111" s="875"/>
      <c r="E111" s="875"/>
      <c r="F111" s="875"/>
      <c r="G111" s="875"/>
      <c r="H111" s="875"/>
      <c r="I111" s="875"/>
      <c r="J111" s="875"/>
      <c r="K111" s="875"/>
      <c r="L111" s="875"/>
      <c r="M111" s="875"/>
      <c r="N111" s="875"/>
      <c r="O111" s="874"/>
      <c r="P111" s="874"/>
      <c r="Q111" s="336"/>
      <c r="R111" s="23"/>
      <c r="S111" s="23"/>
      <c r="T111" s="23"/>
      <c r="U111" s="23"/>
      <c r="V111" s="23"/>
      <c r="W111" s="23"/>
      <c r="X111" s="23"/>
      <c r="Y111" s="23"/>
      <c r="Z111" s="23"/>
      <c r="AA111" s="332"/>
      <c r="AB111" s="44"/>
    </row>
    <row r="112" spans="1:28" ht="18" hidden="1">
      <c r="A112" s="209"/>
      <c r="B112" s="875"/>
      <c r="C112" s="875"/>
      <c r="D112" s="875"/>
      <c r="E112" s="875"/>
      <c r="F112" s="875"/>
      <c r="G112" s="875"/>
      <c r="H112" s="875"/>
      <c r="I112" s="875"/>
      <c r="J112" s="875"/>
      <c r="K112" s="875"/>
      <c r="L112" s="875"/>
      <c r="M112" s="875"/>
      <c r="N112" s="875"/>
      <c r="O112" s="874"/>
      <c r="P112" s="874"/>
      <c r="Q112" s="336"/>
      <c r="R112" s="23"/>
      <c r="S112" s="23"/>
      <c r="T112" s="23"/>
      <c r="U112" s="23"/>
      <c r="V112" s="23"/>
      <c r="W112" s="23"/>
      <c r="X112" s="23"/>
      <c r="Y112" s="23"/>
      <c r="Z112" s="23"/>
      <c r="AA112" s="332"/>
      <c r="AB112" s="44"/>
    </row>
    <row r="113" spans="1:28" ht="18" hidden="1">
      <c r="A113" s="209"/>
      <c r="B113" s="875"/>
      <c r="C113" s="875"/>
      <c r="D113" s="875"/>
      <c r="E113" s="875"/>
      <c r="F113" s="875"/>
      <c r="G113" s="875"/>
      <c r="H113" s="875"/>
      <c r="I113" s="875"/>
      <c r="J113" s="875"/>
      <c r="K113" s="875"/>
      <c r="L113" s="875"/>
      <c r="M113" s="875"/>
      <c r="N113" s="875"/>
      <c r="O113" s="874"/>
      <c r="P113" s="874"/>
      <c r="Q113" s="336"/>
      <c r="R113" s="23"/>
      <c r="S113" s="23"/>
      <c r="T113" s="23"/>
      <c r="U113" s="23"/>
      <c r="V113" s="23"/>
      <c r="W113" s="23"/>
      <c r="X113" s="23"/>
      <c r="Y113" s="23"/>
      <c r="Z113" s="23"/>
      <c r="AA113" s="332"/>
      <c r="AB113" s="44"/>
    </row>
    <row r="114" spans="1:28" ht="18" hidden="1">
      <c r="A114" s="209"/>
      <c r="B114" s="875"/>
      <c r="C114" s="875"/>
      <c r="D114" s="875"/>
      <c r="E114" s="875"/>
      <c r="F114" s="875"/>
      <c r="G114" s="875"/>
      <c r="H114" s="875"/>
      <c r="I114" s="875"/>
      <c r="J114" s="875"/>
      <c r="K114" s="875"/>
      <c r="L114" s="875"/>
      <c r="M114" s="875"/>
      <c r="N114" s="875"/>
      <c r="O114" s="874"/>
      <c r="P114" s="874"/>
      <c r="Q114" s="336"/>
      <c r="R114" s="23"/>
      <c r="S114" s="23"/>
      <c r="T114" s="23"/>
      <c r="U114" s="23"/>
      <c r="V114" s="23"/>
      <c r="W114" s="23"/>
      <c r="X114" s="23"/>
      <c r="Y114" s="23"/>
      <c r="Z114" s="23"/>
      <c r="AA114" s="332"/>
      <c r="AB114" s="44"/>
    </row>
    <row r="115" spans="1:28" ht="18" hidden="1">
      <c r="A115" s="209"/>
      <c r="B115" s="875"/>
      <c r="C115" s="875"/>
      <c r="D115" s="875"/>
      <c r="E115" s="875"/>
      <c r="F115" s="875"/>
      <c r="G115" s="875"/>
      <c r="H115" s="875"/>
      <c r="I115" s="875"/>
      <c r="J115" s="875"/>
      <c r="K115" s="875"/>
      <c r="L115" s="875"/>
      <c r="M115" s="875"/>
      <c r="N115" s="875"/>
      <c r="O115" s="874"/>
      <c r="P115" s="874"/>
      <c r="Q115" s="336"/>
      <c r="R115" s="23"/>
      <c r="S115" s="23"/>
      <c r="T115" s="23"/>
      <c r="U115" s="23"/>
      <c r="V115" s="23"/>
      <c r="W115" s="23"/>
      <c r="X115" s="23"/>
      <c r="Y115" s="23"/>
      <c r="Z115" s="23"/>
      <c r="AA115" s="332"/>
      <c r="AB115" s="44"/>
    </row>
    <row r="116" spans="1:28" ht="18.75" hidden="1" thickBot="1">
      <c r="A116" s="1038"/>
      <c r="B116" s="1039"/>
      <c r="C116" s="1039"/>
      <c r="D116" s="1039"/>
      <c r="E116" s="1039"/>
      <c r="F116" s="1039"/>
      <c r="G116" s="1039"/>
      <c r="H116" s="715"/>
      <c r="I116" s="1040"/>
      <c r="J116" s="1040"/>
      <c r="K116" s="1040"/>
      <c r="L116" s="1040"/>
      <c r="M116" s="1040"/>
      <c r="N116" s="1040"/>
      <c r="O116" s="1040"/>
      <c r="P116" s="715"/>
      <c r="Q116" s="1041"/>
      <c r="R116" s="1039"/>
      <c r="S116" s="1039"/>
      <c r="T116" s="1039"/>
      <c r="U116" s="1039"/>
      <c r="V116" s="1039"/>
      <c r="W116" s="1039"/>
      <c r="X116" s="1039"/>
      <c r="Y116" s="1040"/>
      <c r="Z116" s="1040"/>
      <c r="AA116" s="1040"/>
      <c r="AB116" s="1042"/>
    </row>
    <row r="117" spans="1:28" ht="12.75">
      <c r="A117" s="1024"/>
      <c r="B117" s="1028"/>
      <c r="C117" s="14"/>
      <c r="D117" s="14"/>
      <c r="E117" s="14"/>
      <c r="F117" s="14"/>
      <c r="G117" s="14"/>
      <c r="H117" s="14"/>
      <c r="I117" s="1028"/>
      <c r="J117" s="1028"/>
      <c r="K117" s="1028"/>
      <c r="L117" s="1028"/>
      <c r="M117" s="1028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</row>
    <row r="118" spans="1:28" ht="12.75">
      <c r="A118" s="1024"/>
      <c r="B118" s="1028"/>
      <c r="C118" s="14"/>
      <c r="D118" s="14"/>
      <c r="E118" s="14"/>
      <c r="F118" s="14"/>
      <c r="G118" s="1028"/>
      <c r="H118" s="14"/>
      <c r="I118" s="14"/>
      <c r="J118" s="1028"/>
      <c r="L118" s="1028"/>
      <c r="M118" s="1028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</row>
    <row r="119" spans="1:28" ht="12.75">
      <c r="A119" s="1024"/>
      <c r="B119" s="1028"/>
      <c r="C119" s="1028"/>
      <c r="D119" s="14"/>
      <c r="E119" s="14"/>
      <c r="F119" s="14"/>
      <c r="G119" s="1028"/>
      <c r="H119" s="14"/>
      <c r="I119" s="14"/>
      <c r="J119" s="1028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</row>
    <row r="120" spans="1:28" ht="12.75">
      <c r="A120" s="1024"/>
      <c r="B120" s="1028"/>
      <c r="C120" s="14"/>
      <c r="D120" s="14"/>
      <c r="E120" s="14"/>
      <c r="F120" s="14"/>
      <c r="G120" s="1028"/>
      <c r="H120" s="14"/>
      <c r="I120" s="14"/>
      <c r="J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</row>
    <row r="121" spans="1:28" ht="12.75">
      <c r="A121" s="1024"/>
      <c r="B121" s="14"/>
      <c r="C121" s="14"/>
      <c r="D121" s="14"/>
      <c r="E121" s="14"/>
      <c r="F121" s="14"/>
      <c r="G121" s="14"/>
      <c r="H121" s="14"/>
      <c r="I121" s="14"/>
      <c r="J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</row>
  </sheetData>
  <sheetProtection/>
  <mergeCells count="27">
    <mergeCell ref="Q1:Z1"/>
    <mergeCell ref="A91:V91"/>
    <mergeCell ref="A93:A94"/>
    <mergeCell ref="B93:P93"/>
    <mergeCell ref="Q93:AB93"/>
    <mergeCell ref="B94:H94"/>
    <mergeCell ref="I94:P94"/>
    <mergeCell ref="Q94:U94"/>
    <mergeCell ref="V94:AB94"/>
    <mergeCell ref="V9:AB9"/>
    <mergeCell ref="A63:V63"/>
    <mergeCell ref="A65:A66"/>
    <mergeCell ref="B65:P65"/>
    <mergeCell ref="Q65:AB65"/>
    <mergeCell ref="B66:H66"/>
    <mergeCell ref="I66:P66"/>
    <mergeCell ref="Q66:U66"/>
    <mergeCell ref="V66:AB66"/>
    <mergeCell ref="A3:V3"/>
    <mergeCell ref="A4:V4"/>
    <mergeCell ref="A5:V5"/>
    <mergeCell ref="A8:A9"/>
    <mergeCell ref="B8:P8"/>
    <mergeCell ref="Q8:AB8"/>
    <mergeCell ref="B9:H9"/>
    <mergeCell ref="I9:P9"/>
    <mergeCell ref="Q9:U9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2" r:id="rId1"/>
  <headerFooter alignWithMargins="0">
    <oddFooter>&amp;R
</oddFooter>
  </headerFooter>
  <colBreaks count="1" manualBreakCount="1">
    <brk id="29" max="2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C2" sqref="C2"/>
    </sheetView>
  </sheetViews>
  <sheetFormatPr defaultColWidth="9.140625" defaultRowHeight="12.75"/>
  <cols>
    <col min="1" max="1" width="8.140625" style="633" customWidth="1"/>
    <col min="2" max="2" width="64.00390625" style="633" customWidth="1"/>
    <col min="3" max="3" width="19.8515625" style="633" customWidth="1"/>
    <col min="4" max="4" width="16.7109375" style="633" customWidth="1"/>
    <col min="5" max="5" width="16.7109375" style="633" hidden="1" customWidth="1"/>
    <col min="6" max="12" width="15.00390625" style="633" hidden="1" customWidth="1"/>
    <col min="13" max="13" width="15.00390625" style="633" customWidth="1"/>
    <col min="14" max="16384" width="9.140625" style="633" customWidth="1"/>
  </cols>
  <sheetData>
    <row r="1" spans="3:7" ht="15">
      <c r="C1" s="1392" t="s">
        <v>545</v>
      </c>
      <c r="D1" s="1392"/>
      <c r="E1" s="1392"/>
      <c r="F1" s="1392"/>
      <c r="G1" s="1392"/>
    </row>
    <row r="2" spans="3:7" ht="15">
      <c r="C2" s="1191"/>
      <c r="D2" s="1191" t="s">
        <v>627</v>
      </c>
      <c r="E2" s="1191"/>
      <c r="F2" s="1191"/>
      <c r="G2" s="1191"/>
    </row>
    <row r="3" spans="1:7" ht="47.25" customHeight="1">
      <c r="A3" s="1391" t="s">
        <v>374</v>
      </c>
      <c r="B3" s="1391"/>
      <c r="C3" s="1391"/>
      <c r="D3" s="1391"/>
      <c r="E3" s="1391"/>
      <c r="F3" s="1391"/>
      <c r="G3" s="1391"/>
    </row>
    <row r="4" spans="1:6" ht="15.75" customHeight="1" thickBot="1">
      <c r="A4" s="634"/>
      <c r="B4" s="634"/>
      <c r="C4" s="1390" t="s">
        <v>427</v>
      </c>
      <c r="D4" s="1390"/>
      <c r="E4" s="1390"/>
      <c r="F4" s="635"/>
    </row>
    <row r="5" spans="1:12" ht="44.25" customHeight="1" thickBot="1">
      <c r="A5" s="636" t="s">
        <v>235</v>
      </c>
      <c r="B5" s="637" t="s">
        <v>375</v>
      </c>
      <c r="C5" s="638" t="s">
        <v>577</v>
      </c>
      <c r="D5" s="638" t="s">
        <v>215</v>
      </c>
      <c r="E5" s="638" t="s">
        <v>218</v>
      </c>
      <c r="F5" s="638" t="s">
        <v>220</v>
      </c>
      <c r="G5" s="638" t="s">
        <v>232</v>
      </c>
      <c r="H5" s="638" t="s">
        <v>237</v>
      </c>
      <c r="I5" s="638" t="s">
        <v>221</v>
      </c>
      <c r="J5" s="638" t="s">
        <v>419</v>
      </c>
      <c r="K5" s="638" t="s">
        <v>423</v>
      </c>
      <c r="L5" s="638" t="s">
        <v>418</v>
      </c>
    </row>
    <row r="6" spans="1:12" ht="26.25" customHeight="1" thickBot="1">
      <c r="A6" s="639">
        <v>1</v>
      </c>
      <c r="B6" s="640">
        <v>2</v>
      </c>
      <c r="C6" s="641">
        <v>3</v>
      </c>
      <c r="D6" s="641">
        <v>4</v>
      </c>
      <c r="E6" s="641">
        <v>5</v>
      </c>
      <c r="F6" s="641">
        <v>6</v>
      </c>
      <c r="G6" s="641">
        <v>7</v>
      </c>
      <c r="H6" s="641">
        <v>8</v>
      </c>
      <c r="I6" s="641">
        <v>5</v>
      </c>
      <c r="J6" s="641">
        <v>6</v>
      </c>
      <c r="K6" s="641">
        <v>7</v>
      </c>
      <c r="L6" s="641">
        <v>7</v>
      </c>
    </row>
    <row r="7" spans="1:12" ht="31.5" customHeight="1">
      <c r="A7" s="642" t="s">
        <v>26</v>
      </c>
      <c r="B7" s="643" t="s">
        <v>269</v>
      </c>
      <c r="C7" s="644">
        <f>'1.sz.m-önk.össze.bev'!E9</f>
        <v>19350000</v>
      </c>
      <c r="D7" s="644">
        <f>'1.sz.m-önk.össze.bev'!F9</f>
        <v>19350000</v>
      </c>
      <c r="E7" s="644">
        <f>'1.sz.m-önk.össze.bev'!G9</f>
        <v>0</v>
      </c>
      <c r="F7" s="644">
        <f>'1.sz.m-önk.össze.bev'!H9</f>
        <v>0</v>
      </c>
      <c r="G7" s="644">
        <f>'1.sz.m-önk.össze.bev'!I9</f>
        <v>0</v>
      </c>
      <c r="H7" s="644">
        <f>'1.sz.m-önk.össze.bev'!J9</f>
        <v>0</v>
      </c>
      <c r="I7" s="644">
        <f>'1.sz.m-önk.össze.bev'!K9</f>
        <v>19350000</v>
      </c>
      <c r="J7" s="644">
        <f>'1.sz.m-önk.össze.bev'!L9</f>
        <v>19350000</v>
      </c>
      <c r="K7" s="644">
        <f>'1.sz.m-önk.össze.bev'!M9</f>
        <v>0</v>
      </c>
      <c r="L7" s="644">
        <f>'1.sz.m-önk.össze.bev'!N9</f>
        <v>0</v>
      </c>
    </row>
    <row r="8" spans="1:12" ht="26.25" customHeight="1">
      <c r="A8" s="645" t="s">
        <v>27</v>
      </c>
      <c r="B8" s="643" t="s">
        <v>376</v>
      </c>
      <c r="C8" s="646">
        <f>'1.sz.m-önk.össze.bev'!E14</f>
        <v>185000000</v>
      </c>
      <c r="D8" s="646">
        <f>'1.sz.m-önk.össze.bev'!F14</f>
        <v>185000000</v>
      </c>
      <c r="E8" s="646">
        <f>'1.sz.m-önk.össze.bev'!G14</f>
        <v>0</v>
      </c>
      <c r="F8" s="646">
        <f>'1.sz.m-önk.össze.bev'!H14</f>
        <v>0</v>
      </c>
      <c r="G8" s="646">
        <f>'1.sz.m-önk.össze.bev'!I14</f>
        <v>0</v>
      </c>
      <c r="H8" s="646">
        <f>'1.sz.m-önk.össze.bev'!J14</f>
        <v>0</v>
      </c>
      <c r="I8" s="646">
        <f>'1.sz.m-önk.össze.bev'!K14</f>
        <v>170323131</v>
      </c>
      <c r="J8" s="646">
        <f>'1.sz.m-önk.össze.bev'!L14</f>
        <v>162363352</v>
      </c>
      <c r="K8" s="646">
        <f>'1.sz.m-önk.össze.bev'!M14</f>
        <v>-20665627</v>
      </c>
      <c r="L8" s="646">
        <f>'1.sz.m-önk.össze.bev'!N14</f>
        <v>-28275182</v>
      </c>
    </row>
    <row r="9" spans="1:12" ht="33.75" customHeight="1">
      <c r="A9" s="647" t="s">
        <v>9</v>
      </c>
      <c r="B9" s="648" t="s">
        <v>377</v>
      </c>
      <c r="C9" s="649">
        <f>'1.sz.m-önk.össze.bev'!E18</f>
        <v>0</v>
      </c>
      <c r="D9" s="649">
        <f>'1.sz.m-önk.össze.bev'!F18</f>
        <v>0</v>
      </c>
      <c r="E9" s="649">
        <f>'1.sz.m-önk.össze.bev'!G18</f>
        <v>0</v>
      </c>
      <c r="F9" s="649">
        <f>'1.sz.m-önk.össze.bev'!H18</f>
        <v>0</v>
      </c>
      <c r="G9" s="649">
        <f>'1.sz.m-önk.össze.bev'!I18</f>
        <v>0</v>
      </c>
      <c r="H9" s="649">
        <f>'1.sz.m-önk.össze.bev'!J18</f>
        <v>0</v>
      </c>
      <c r="I9" s="649">
        <f>'1.sz.m-önk.össze.bev'!K18</f>
        <v>0</v>
      </c>
      <c r="J9" s="649">
        <f>'1.sz.m-önk.össze.bev'!L18</f>
        <v>0</v>
      </c>
      <c r="K9" s="649">
        <f>'1.sz.m-önk.össze.bev'!M18</f>
        <v>0</v>
      </c>
      <c r="L9" s="649">
        <f>'1.sz.m-önk.össze.bev'!N18</f>
        <v>0</v>
      </c>
    </row>
    <row r="10" spans="1:12" ht="33" customHeight="1">
      <c r="A10" s="645" t="s">
        <v>10</v>
      </c>
      <c r="B10" s="650" t="s">
        <v>284</v>
      </c>
      <c r="C10" s="649">
        <f>'1.sz.m-önk.össze.bev'!E21</f>
        <v>1410000</v>
      </c>
      <c r="D10" s="649">
        <f>'1.sz.m-önk.össze.bev'!F21</f>
        <v>1410000</v>
      </c>
      <c r="E10" s="649">
        <f>'1.sz.m-önk.össze.bev'!G21</f>
        <v>0</v>
      </c>
      <c r="F10" s="649">
        <f>'1.sz.m-önk.össze.bev'!H21</f>
        <v>0</v>
      </c>
      <c r="G10" s="649">
        <f>'1.sz.m-önk.össze.bev'!I21</f>
        <v>0</v>
      </c>
      <c r="H10" s="649">
        <f>'1.sz.m-önk.össze.bev'!J21</f>
        <v>0</v>
      </c>
      <c r="I10" s="649">
        <f>'1.sz.m-önk.össze.bev'!K21</f>
        <v>1410000</v>
      </c>
      <c r="J10" s="649">
        <f>'1.sz.m-önk.össze.bev'!L21</f>
        <v>1410000</v>
      </c>
      <c r="K10" s="649">
        <f>'1.sz.m-önk.össze.bev'!M21</f>
        <v>0</v>
      </c>
      <c r="L10" s="649">
        <f>'1.sz.m-önk.össze.bev'!N21</f>
        <v>0</v>
      </c>
    </row>
    <row r="11" spans="1:12" ht="26.25" customHeight="1">
      <c r="A11" s="647" t="s">
        <v>11</v>
      </c>
      <c r="B11" s="650" t="s">
        <v>378</v>
      </c>
      <c r="C11" s="651">
        <f>'1.sz.m-önk.össze.bev'!E26</f>
        <v>1325401</v>
      </c>
      <c r="D11" s="651">
        <f>'1.sz.m-önk.össze.bev'!F26</f>
        <v>1325401</v>
      </c>
      <c r="E11" s="651">
        <f>'1.sz.m-önk.össze.bev'!G26</f>
        <v>0</v>
      </c>
      <c r="F11" s="651">
        <f>'1.sz.m-önk.össze.bev'!H26</f>
        <v>0</v>
      </c>
      <c r="G11" s="651">
        <f>'1.sz.m-önk.össze.bev'!I26</f>
        <v>0</v>
      </c>
      <c r="H11" s="651">
        <f>'1.sz.m-önk.össze.bev'!J26</f>
        <v>0</v>
      </c>
      <c r="I11" s="651">
        <f>'1.sz.m-önk.össze.bev'!K26</f>
        <v>1325401</v>
      </c>
      <c r="J11" s="651">
        <f>'1.sz.m-önk.össze.bev'!L26</f>
        <v>1325401</v>
      </c>
      <c r="K11" s="651">
        <f>'1.sz.m-önk.össze.bev'!M26</f>
        <v>1325401</v>
      </c>
      <c r="L11" s="651">
        <f>'1.sz.m-önk.össze.bev'!N26</f>
        <v>0</v>
      </c>
    </row>
    <row r="12" spans="1:12" ht="26.25" customHeight="1" thickBot="1">
      <c r="A12" s="647" t="s">
        <v>12</v>
      </c>
      <c r="B12" s="650" t="s">
        <v>479</v>
      </c>
      <c r="C12" s="649">
        <f>'1.sz.m-önk.össze.bev'!E56</f>
        <v>600000</v>
      </c>
      <c r="D12" s="649">
        <f>'1.sz.m-önk.össze.bev'!F56</f>
        <v>600000</v>
      </c>
      <c r="E12" s="649">
        <f>'1.sz.m-önk.össze.bev'!G56</f>
        <v>0</v>
      </c>
      <c r="F12" s="649">
        <f>'1.sz.m-önk.össze.bev'!H56</f>
        <v>0</v>
      </c>
      <c r="G12" s="649">
        <f>'1.sz.m-önk.össze.bev'!I56</f>
        <v>0</v>
      </c>
      <c r="H12" s="649">
        <f>'1.sz.m-önk.össze.bev'!J56</f>
        <v>0</v>
      </c>
      <c r="I12" s="649">
        <f>'1.sz.m-önk.össze.bev'!K56</f>
        <v>600000</v>
      </c>
      <c r="J12" s="649">
        <f>'1.sz.m-önk.össze.bev'!L56</f>
        <v>600000</v>
      </c>
      <c r="K12" s="649">
        <f>'1.sz.m-önk.össze.bev'!M56</f>
        <v>0</v>
      </c>
      <c r="L12" s="649">
        <f>'1.sz.m-önk.össze.bev'!N56</f>
        <v>0</v>
      </c>
    </row>
    <row r="13" spans="1:12" ht="26.25" customHeight="1" thickBot="1">
      <c r="A13" s="1387" t="s">
        <v>379</v>
      </c>
      <c r="B13" s="1388"/>
      <c r="C13" s="652">
        <f aca="true" t="shared" si="0" ref="C13:L13">SUM(C7:C12)</f>
        <v>207685401</v>
      </c>
      <c r="D13" s="652">
        <f>SUM(D7:D12)</f>
        <v>207685401</v>
      </c>
      <c r="E13" s="652">
        <f>SUM(E7:E12)</f>
        <v>0</v>
      </c>
      <c r="F13" s="652">
        <f t="shared" si="0"/>
        <v>0</v>
      </c>
      <c r="G13" s="652">
        <f t="shared" si="0"/>
        <v>0</v>
      </c>
      <c r="H13" s="652">
        <f t="shared" si="0"/>
        <v>0</v>
      </c>
      <c r="I13" s="652">
        <f t="shared" si="0"/>
        <v>193008532</v>
      </c>
      <c r="J13" s="652">
        <f t="shared" si="0"/>
        <v>185048753</v>
      </c>
      <c r="K13" s="652">
        <f t="shared" si="0"/>
        <v>-19340226</v>
      </c>
      <c r="L13" s="652">
        <f t="shared" si="0"/>
        <v>-28275182</v>
      </c>
    </row>
    <row r="14" spans="1:5" ht="23.25" customHeight="1">
      <c r="A14" s="1389"/>
      <c r="B14" s="1389"/>
      <c r="C14" s="1389"/>
      <c r="D14" s="653"/>
      <c r="E14" s="653"/>
    </row>
  </sheetData>
  <sheetProtection/>
  <mergeCells count="5">
    <mergeCell ref="A13:B13"/>
    <mergeCell ref="A14:C14"/>
    <mergeCell ref="C4:E4"/>
    <mergeCell ref="A3:G3"/>
    <mergeCell ref="C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G2" sqref="G2"/>
    </sheetView>
  </sheetViews>
  <sheetFormatPr defaultColWidth="9.140625" defaultRowHeight="12.75"/>
  <cols>
    <col min="1" max="1" width="5.57421875" style="716" customWidth="1"/>
    <col min="2" max="2" width="24.7109375" style="717" customWidth="1"/>
    <col min="3" max="3" width="9.57421875" style="718" bestFit="1" customWidth="1"/>
    <col min="4" max="4" width="11.421875" style="718" customWidth="1"/>
    <col min="5" max="13" width="9.57421875" style="718" bestFit="1" customWidth="1"/>
    <col min="14" max="14" width="9.28125" style="718" customWidth="1"/>
    <col min="15" max="15" width="13.00390625" style="716" customWidth="1"/>
    <col min="16" max="16" width="15.8515625" style="718" customWidth="1"/>
    <col min="17" max="17" width="13.28125" style="718" customWidth="1"/>
    <col min="18" max="18" width="12.421875" style="718" bestFit="1" customWidth="1"/>
    <col min="19" max="19" width="12.57421875" style="718" customWidth="1"/>
    <col min="20" max="16384" width="9.140625" style="718" customWidth="1"/>
  </cols>
  <sheetData>
    <row r="1" spans="7:15" ht="15.75">
      <c r="G1" s="1398" t="s">
        <v>607</v>
      </c>
      <c r="H1" s="1398"/>
      <c r="I1" s="1398"/>
      <c r="J1" s="1398"/>
      <c r="K1" s="1398"/>
      <c r="L1" s="1398"/>
      <c r="M1" s="1398"/>
      <c r="N1" s="1398"/>
      <c r="O1" s="1398"/>
    </row>
    <row r="2" spans="7:15" ht="15.75">
      <c r="G2" s="1192"/>
      <c r="H2" s="1192"/>
      <c r="I2" s="1192"/>
      <c r="J2" s="1192"/>
      <c r="K2" s="1192"/>
      <c r="L2" s="1192"/>
      <c r="M2" s="1192"/>
      <c r="N2" s="1192"/>
      <c r="O2" s="1192" t="s">
        <v>628</v>
      </c>
    </row>
    <row r="3" spans="1:15" ht="31.5" customHeight="1">
      <c r="A3" s="1393" t="s">
        <v>578</v>
      </c>
      <c r="B3" s="1394"/>
      <c r="C3" s="1394"/>
      <c r="D3" s="1394"/>
      <c r="E3" s="1394"/>
      <c r="F3" s="1394"/>
      <c r="G3" s="1394"/>
      <c r="H3" s="1394"/>
      <c r="I3" s="1394"/>
      <c r="J3" s="1394"/>
      <c r="K3" s="1394"/>
      <c r="L3" s="1394"/>
      <c r="M3" s="1394"/>
      <c r="N3" s="1394"/>
      <c r="O3" s="1394"/>
    </row>
    <row r="4" ht="16.5" thickBot="1">
      <c r="O4" s="719" t="s">
        <v>431</v>
      </c>
    </row>
    <row r="5" spans="1:15" s="716" customFormat="1" ht="35.25" customHeight="1" thickBot="1">
      <c r="A5" s="720" t="s">
        <v>235</v>
      </c>
      <c r="B5" s="721" t="s">
        <v>3</v>
      </c>
      <c r="C5" s="722" t="s">
        <v>383</v>
      </c>
      <c r="D5" s="722" t="s">
        <v>384</v>
      </c>
      <c r="E5" s="722" t="s">
        <v>385</v>
      </c>
      <c r="F5" s="722" t="s">
        <v>386</v>
      </c>
      <c r="G5" s="722" t="s">
        <v>387</v>
      </c>
      <c r="H5" s="722" t="s">
        <v>388</v>
      </c>
      <c r="I5" s="722" t="s">
        <v>389</v>
      </c>
      <c r="J5" s="722" t="s">
        <v>390</v>
      </c>
      <c r="K5" s="722" t="s">
        <v>391</v>
      </c>
      <c r="L5" s="722" t="s">
        <v>392</v>
      </c>
      <c r="M5" s="722" t="s">
        <v>393</v>
      </c>
      <c r="N5" s="722" t="s">
        <v>394</v>
      </c>
      <c r="O5" s="723" t="s">
        <v>20</v>
      </c>
    </row>
    <row r="6" spans="1:15" s="725" customFormat="1" ht="15" customHeight="1" thickBot="1">
      <c r="A6" s="724" t="s">
        <v>26</v>
      </c>
      <c r="B6" s="1395" t="s">
        <v>105</v>
      </c>
      <c r="C6" s="1396"/>
      <c r="D6" s="1396"/>
      <c r="E6" s="1396"/>
      <c r="F6" s="1396"/>
      <c r="G6" s="1396"/>
      <c r="H6" s="1396"/>
      <c r="I6" s="1396"/>
      <c r="J6" s="1396"/>
      <c r="K6" s="1396"/>
      <c r="L6" s="1396"/>
      <c r="M6" s="1396"/>
      <c r="N6" s="1396"/>
      <c r="O6" s="1397"/>
    </row>
    <row r="7" spans="1:15" s="725" customFormat="1" ht="15" customHeight="1">
      <c r="A7" s="726" t="s">
        <v>27</v>
      </c>
      <c r="B7" s="727" t="s">
        <v>395</v>
      </c>
      <c r="C7" s="728">
        <f>+'1.sz.m-önk.össze.bev'!F17</f>
        <v>468365</v>
      </c>
      <c r="D7" s="728"/>
      <c r="E7" s="728">
        <v>102880000</v>
      </c>
      <c r="F7" s="728"/>
      <c r="G7" s="728"/>
      <c r="H7" s="728"/>
      <c r="I7" s="728"/>
      <c r="J7" s="728"/>
      <c r="K7" s="728">
        <v>102880000</v>
      </c>
      <c r="L7" s="728"/>
      <c r="M7" s="728"/>
      <c r="N7" s="728"/>
      <c r="O7" s="729">
        <f aca="true" t="shared" si="0" ref="O7:O13">SUM(C7:N7)</f>
        <v>206228365</v>
      </c>
    </row>
    <row r="8" spans="1:19" s="734" customFormat="1" ht="13.5" customHeight="1">
      <c r="A8" s="730" t="s">
        <v>9</v>
      </c>
      <c r="B8" s="731" t="s">
        <v>396</v>
      </c>
      <c r="C8" s="732">
        <f>6185082-1939274</f>
        <v>4245808</v>
      </c>
      <c r="D8" s="732">
        <f>6185082-1939274</f>
        <v>4245808</v>
      </c>
      <c r="E8" s="732">
        <f>6185082-1939274</f>
        <v>4245808</v>
      </c>
      <c r="F8" s="732">
        <f>6185082-1939274</f>
        <v>4245808</v>
      </c>
      <c r="G8" s="732">
        <f>6185082-1939274</f>
        <v>4245808</v>
      </c>
      <c r="H8" s="732">
        <f>6185082-1939274+5</f>
        <v>4245813</v>
      </c>
      <c r="I8" s="732">
        <v>6185083</v>
      </c>
      <c r="J8" s="732">
        <v>6185083</v>
      </c>
      <c r="K8" s="732">
        <v>6185082</v>
      </c>
      <c r="L8" s="732">
        <v>6185083</v>
      </c>
      <c r="M8" s="732">
        <v>6185083</v>
      </c>
      <c r="N8" s="732">
        <v>6185082</v>
      </c>
      <c r="O8" s="733">
        <f t="shared" si="0"/>
        <v>62585349</v>
      </c>
      <c r="Q8" s="725"/>
      <c r="R8" s="734">
        <f>+Q8/6</f>
        <v>0</v>
      </c>
      <c r="S8" s="725"/>
    </row>
    <row r="9" spans="1:19" s="734" customFormat="1" ht="27" customHeight="1">
      <c r="A9" s="730" t="s">
        <v>10</v>
      </c>
      <c r="B9" s="735" t="s">
        <v>458</v>
      </c>
      <c r="C9" s="736">
        <f>27174448+1977508</f>
        <v>29151956</v>
      </c>
      <c r="D9" s="736">
        <f>27174448+1977508</f>
        <v>29151956</v>
      </c>
      <c r="E9" s="736">
        <f>27174448+1977508</f>
        <v>29151956</v>
      </c>
      <c r="F9" s="736">
        <f>27174448+1977509</f>
        <v>29151957</v>
      </c>
      <c r="G9" s="736">
        <f>27174448+1977509</f>
        <v>29151957</v>
      </c>
      <c r="H9" s="736">
        <f>27174448+1977509</f>
        <v>29151957</v>
      </c>
      <c r="I9" s="736">
        <v>27174448</v>
      </c>
      <c r="J9" s="736">
        <v>27174448</v>
      </c>
      <c r="K9" s="736">
        <v>27174448</v>
      </c>
      <c r="L9" s="736">
        <v>27174448</v>
      </c>
      <c r="M9" s="736">
        <v>27174448</v>
      </c>
      <c r="N9" s="736">
        <v>27174448</v>
      </c>
      <c r="O9" s="733">
        <f t="shared" si="0"/>
        <v>337958427</v>
      </c>
      <c r="Q9" s="725"/>
      <c r="S9" s="725"/>
    </row>
    <row r="10" spans="1:19" s="734" customFormat="1" ht="21.75" customHeight="1">
      <c r="A10" s="730" t="s">
        <v>11</v>
      </c>
      <c r="B10" s="735" t="s">
        <v>397</v>
      </c>
      <c r="C10" s="736"/>
      <c r="D10" s="736">
        <v>1074492</v>
      </c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3">
        <f t="shared" si="0"/>
        <v>1074492</v>
      </c>
      <c r="Q10" s="725"/>
      <c r="S10" s="725"/>
    </row>
    <row r="11" spans="1:17" s="734" customFormat="1" ht="23.25" customHeight="1">
      <c r="A11" s="730" t="s">
        <v>11</v>
      </c>
      <c r="B11" s="731" t="s">
        <v>398</v>
      </c>
      <c r="C11" s="732"/>
      <c r="D11" s="732">
        <v>300000</v>
      </c>
      <c r="E11" s="732">
        <v>15000</v>
      </c>
      <c r="F11" s="732"/>
      <c r="G11" s="732"/>
      <c r="H11" s="732">
        <v>15000</v>
      </c>
      <c r="I11" s="732"/>
      <c r="J11" s="732"/>
      <c r="K11" s="732">
        <v>15000</v>
      </c>
      <c r="L11" s="732"/>
      <c r="M11" s="732"/>
      <c r="N11" s="732">
        <v>15000</v>
      </c>
      <c r="O11" s="733">
        <f t="shared" si="0"/>
        <v>360000</v>
      </c>
      <c r="Q11" s="725"/>
    </row>
    <row r="12" spans="1:17" s="734" customFormat="1" ht="23.25" customHeight="1">
      <c r="A12" s="730" t="s">
        <v>12</v>
      </c>
      <c r="B12" s="731" t="s">
        <v>399</v>
      </c>
      <c r="C12" s="732"/>
      <c r="D12" s="732">
        <v>600000</v>
      </c>
      <c r="E12" s="732"/>
      <c r="F12" s="732"/>
      <c r="G12" s="732"/>
      <c r="H12" s="732"/>
      <c r="I12" s="732"/>
      <c r="J12" s="732"/>
      <c r="K12" s="732"/>
      <c r="L12" s="732"/>
      <c r="M12" s="732"/>
      <c r="N12" s="732"/>
      <c r="O12" s="733">
        <f t="shared" si="0"/>
        <v>600000</v>
      </c>
      <c r="Q12" s="725"/>
    </row>
    <row r="13" spans="1:17" s="734" customFormat="1" ht="23.25" customHeight="1" thickBot="1">
      <c r="A13" s="730" t="s">
        <v>13</v>
      </c>
      <c r="B13" s="731" t="s">
        <v>400</v>
      </c>
      <c r="C13" s="732">
        <f>+'1.sz.m-önk.össze.bev'!E62</f>
        <v>304279553</v>
      </c>
      <c r="D13" s="732"/>
      <c r="E13" s="732"/>
      <c r="F13" s="732"/>
      <c r="G13" s="732"/>
      <c r="H13" s="732"/>
      <c r="I13" s="732"/>
      <c r="J13" s="732"/>
      <c r="K13" s="732"/>
      <c r="L13" s="732"/>
      <c r="M13" s="732"/>
      <c r="N13" s="732">
        <f>+'1.sz.m-önk.össze.bev'!H60</f>
        <v>0</v>
      </c>
      <c r="O13" s="733">
        <f t="shared" si="0"/>
        <v>304279553</v>
      </c>
      <c r="Q13" s="725"/>
    </row>
    <row r="14" spans="1:15" s="725" customFormat="1" ht="15.75" customHeight="1" thickBot="1">
      <c r="A14" s="730" t="s">
        <v>54</v>
      </c>
      <c r="B14" s="737" t="s">
        <v>401</v>
      </c>
      <c r="C14" s="738">
        <f aca="true" t="shared" si="1" ref="C14:O14">SUM(C7:C13)</f>
        <v>338145682</v>
      </c>
      <c r="D14" s="738">
        <f t="shared" si="1"/>
        <v>35372256</v>
      </c>
      <c r="E14" s="738">
        <f t="shared" si="1"/>
        <v>136292764</v>
      </c>
      <c r="F14" s="738">
        <f t="shared" si="1"/>
        <v>33397765</v>
      </c>
      <c r="G14" s="738">
        <f t="shared" si="1"/>
        <v>33397765</v>
      </c>
      <c r="H14" s="738">
        <f t="shared" si="1"/>
        <v>33412770</v>
      </c>
      <c r="I14" s="738">
        <f t="shared" si="1"/>
        <v>33359531</v>
      </c>
      <c r="J14" s="738">
        <f t="shared" si="1"/>
        <v>33359531</v>
      </c>
      <c r="K14" s="738">
        <f t="shared" si="1"/>
        <v>136254530</v>
      </c>
      <c r="L14" s="738">
        <f t="shared" si="1"/>
        <v>33359531</v>
      </c>
      <c r="M14" s="738">
        <f t="shared" si="1"/>
        <v>33359531</v>
      </c>
      <c r="N14" s="738">
        <f t="shared" si="1"/>
        <v>33374530</v>
      </c>
      <c r="O14" s="739">
        <f t="shared" si="1"/>
        <v>913086186</v>
      </c>
    </row>
    <row r="15" spans="1:15" s="725" customFormat="1" ht="15" customHeight="1" thickBot="1">
      <c r="A15" s="730" t="s">
        <v>55</v>
      </c>
      <c r="B15" s="1395" t="s">
        <v>132</v>
      </c>
      <c r="C15" s="1396"/>
      <c r="D15" s="1396"/>
      <c r="E15" s="1396"/>
      <c r="F15" s="1396"/>
      <c r="G15" s="1396"/>
      <c r="H15" s="1396"/>
      <c r="I15" s="1396"/>
      <c r="J15" s="1396"/>
      <c r="K15" s="1396"/>
      <c r="L15" s="1396"/>
      <c r="M15" s="1396"/>
      <c r="N15" s="1396"/>
      <c r="O15" s="1397"/>
    </row>
    <row r="16" spans="1:19" s="734" customFormat="1" ht="13.5" customHeight="1">
      <c r="A16" s="730" t="s">
        <v>382</v>
      </c>
      <c r="B16" s="735" t="s">
        <v>404</v>
      </c>
      <c r="C16" s="736">
        <v>46735488</v>
      </c>
      <c r="D16" s="736">
        <v>46735488</v>
      </c>
      <c r="E16" s="736">
        <v>46735489</v>
      </c>
      <c r="F16" s="736">
        <v>46735488</v>
      </c>
      <c r="G16" s="736">
        <v>46735488</v>
      </c>
      <c r="H16" s="736">
        <v>46735489</v>
      </c>
      <c r="I16" s="736">
        <f>46735488+8403958</f>
        <v>55139446</v>
      </c>
      <c r="J16" s="736">
        <v>46735488</v>
      </c>
      <c r="K16" s="736">
        <v>46735489</v>
      </c>
      <c r="L16" s="736">
        <v>46735488</v>
      </c>
      <c r="M16" s="736">
        <v>46735488</v>
      </c>
      <c r="N16" s="736">
        <v>46735489</v>
      </c>
      <c r="O16" s="740">
        <f>SUM(C16:N16)</f>
        <v>569229818</v>
      </c>
      <c r="Q16" s="725"/>
      <c r="S16" s="725"/>
    </row>
    <row r="17" spans="1:17" s="734" customFormat="1" ht="27" customHeight="1">
      <c r="A17" s="730" t="s">
        <v>402</v>
      </c>
      <c r="B17" s="731" t="s">
        <v>406</v>
      </c>
      <c r="C17" s="732"/>
      <c r="D17" s="732"/>
      <c r="E17" s="732">
        <f>+'6.a.sz.m.fejlesztés (4)'!D33+'6.a.sz.m.fejlesztés (4)'!D9+'6.a.sz.m.fejlesztés (4)'!D32</f>
        <v>28582519</v>
      </c>
      <c r="F17" s="732"/>
      <c r="G17" s="732">
        <v>6000000</v>
      </c>
      <c r="H17" s="732">
        <f>+'6.a.sz.m.fejlesztés (4)'!D5+'6.a.sz.m.fejlesztés (4)'!D6+'6.a.sz.m.fejlesztés (4)'!D7</f>
        <v>5200000</v>
      </c>
      <c r="I17" s="732">
        <f>+'6.a.sz.m.fejlesztés (4)'!D31</f>
        <v>5713499</v>
      </c>
      <c r="J17" s="732">
        <f>+'6.a.sz.m.fejlesztés (4)'!D30-13260427</f>
        <v>60720973</v>
      </c>
      <c r="K17" s="732">
        <f>+'6.b.sz.m.intfejl (2)'!E33</f>
        <v>2984299.64</v>
      </c>
      <c r="L17" s="732">
        <f>+'6.a.sz.m.fejlesztés (4)'!D10</f>
        <v>45000000</v>
      </c>
      <c r="M17" s="732">
        <f>+'6.a.sz.m.fejlesztés (4)'!D29</f>
        <v>88570024</v>
      </c>
      <c r="N17" s="732">
        <f>+'6.a.sz.m.fejlesztés (4)'!D8</f>
        <v>10000000</v>
      </c>
      <c r="O17" s="733">
        <f>SUM(C17:N17)</f>
        <v>252771314.64</v>
      </c>
      <c r="Q17" s="725"/>
    </row>
    <row r="18" spans="1:19" s="734" customFormat="1" ht="13.5" customHeight="1">
      <c r="A18" s="730" t="s">
        <v>403</v>
      </c>
      <c r="B18" s="731" t="s">
        <v>408</v>
      </c>
      <c r="C18" s="732"/>
      <c r="D18" s="732"/>
      <c r="E18" s="732"/>
      <c r="F18" s="732"/>
      <c r="G18" s="732"/>
      <c r="H18" s="732"/>
      <c r="I18" s="732"/>
      <c r="J18" s="732"/>
      <c r="K18" s="732"/>
      <c r="L18" s="732"/>
      <c r="M18" s="732"/>
      <c r="N18" s="732">
        <f>+'1 .sz.m.önk.össz.kiad.'!F25</f>
        <v>80172407</v>
      </c>
      <c r="O18" s="733">
        <f>SUM(C18:N18)</f>
        <v>80172407</v>
      </c>
      <c r="S18" s="725"/>
    </row>
    <row r="19" spans="1:15" s="734" customFormat="1" ht="13.5" customHeight="1" thickBot="1">
      <c r="A19" s="730" t="s">
        <v>405</v>
      </c>
      <c r="B19" s="731" t="s">
        <v>410</v>
      </c>
      <c r="C19" s="732">
        <f>+'1 .sz.m.önk.össz.kiad.'!E33</f>
        <v>10912646</v>
      </c>
      <c r="D19" s="732"/>
      <c r="E19" s="732"/>
      <c r="F19" s="732"/>
      <c r="G19" s="732"/>
      <c r="H19" s="732"/>
      <c r="I19" s="732"/>
      <c r="J19" s="732"/>
      <c r="K19" s="732"/>
      <c r="L19" s="732"/>
      <c r="M19" s="732"/>
      <c r="N19" s="732"/>
      <c r="O19" s="733">
        <f>SUM(C19:N19)</f>
        <v>10912646</v>
      </c>
    </row>
    <row r="20" spans="1:15" s="725" customFormat="1" ht="15.75" customHeight="1" thickBot="1">
      <c r="A20" s="730" t="s">
        <v>407</v>
      </c>
      <c r="B20" s="737" t="s">
        <v>411</v>
      </c>
      <c r="C20" s="738">
        <f aca="true" t="shared" si="2" ref="C20:O20">SUM(C16:C19)</f>
        <v>57648134</v>
      </c>
      <c r="D20" s="738">
        <f t="shared" si="2"/>
        <v>46735488</v>
      </c>
      <c r="E20" s="738">
        <f t="shared" si="2"/>
        <v>75318008</v>
      </c>
      <c r="F20" s="738">
        <f t="shared" si="2"/>
        <v>46735488</v>
      </c>
      <c r="G20" s="738">
        <f t="shared" si="2"/>
        <v>52735488</v>
      </c>
      <c r="H20" s="738">
        <f t="shared" si="2"/>
        <v>51935489</v>
      </c>
      <c r="I20" s="738">
        <f t="shared" si="2"/>
        <v>60852945</v>
      </c>
      <c r="J20" s="738">
        <f t="shared" si="2"/>
        <v>107456461</v>
      </c>
      <c r="K20" s="738">
        <f t="shared" si="2"/>
        <v>49719788.64</v>
      </c>
      <c r="L20" s="738">
        <f t="shared" si="2"/>
        <v>91735488</v>
      </c>
      <c r="M20" s="738">
        <f t="shared" si="2"/>
        <v>135305512</v>
      </c>
      <c r="N20" s="738">
        <f t="shared" si="2"/>
        <v>136907896</v>
      </c>
      <c r="O20" s="739">
        <f t="shared" si="2"/>
        <v>913086185.64</v>
      </c>
    </row>
    <row r="21" spans="1:15" ht="16.5" thickBot="1">
      <c r="A21" s="730" t="s">
        <v>409</v>
      </c>
      <c r="B21" s="741" t="s">
        <v>412</v>
      </c>
      <c r="C21" s="742">
        <f>C14-C20</f>
        <v>280497548</v>
      </c>
      <c r="D21" s="742">
        <f>C14+D14-C20-D20</f>
        <v>269134316</v>
      </c>
      <c r="E21" s="742">
        <f>C14+D14+E14-C20-D20-E20</f>
        <v>330109072</v>
      </c>
      <c r="F21" s="742">
        <f>C14+D14+E14+F14-C20-D20-E20-F20</f>
        <v>316771349</v>
      </c>
      <c r="G21" s="742">
        <f>(SUM(C14:G14))-(SUM(C20:G20))</f>
        <v>297433626</v>
      </c>
      <c r="H21" s="742">
        <f>(SUM(C14:H14))-(SUM(C20:H20))</f>
        <v>278910907</v>
      </c>
      <c r="I21" s="742">
        <f>(SUM(C14:I14))-(SUM(C20:I20))</f>
        <v>251417493</v>
      </c>
      <c r="J21" s="742">
        <f>(SUM(C14:J14))-(SUM(C20:J20))</f>
        <v>177320563</v>
      </c>
      <c r="K21" s="742">
        <f>(SUM(C14:K14))-(SUM(C20:K20))</f>
        <v>263855304.36</v>
      </c>
      <c r="L21" s="742">
        <f>(SUM(C14:L14))-(SUM(C20:L20))</f>
        <v>205479347.36</v>
      </c>
      <c r="M21" s="742">
        <f>(SUM(C14:M14))-(SUM(C20:M20))</f>
        <v>103533366.36000001</v>
      </c>
      <c r="N21" s="742">
        <f>(SUM(C14:N14))-(SUM(C20:N20))</f>
        <v>0.36000001430511475</v>
      </c>
      <c r="O21" s="743">
        <f>O14-O20</f>
        <v>0.36000001430511475</v>
      </c>
    </row>
    <row r="22" ht="15.75">
      <c r="A22" s="744"/>
    </row>
    <row r="23" spans="2:4" ht="15.75">
      <c r="B23" s="745"/>
      <c r="C23" s="746"/>
      <c r="D23" s="746"/>
    </row>
  </sheetData>
  <sheetProtection/>
  <mergeCells count="4">
    <mergeCell ref="A3:O3"/>
    <mergeCell ref="B6:O6"/>
    <mergeCell ref="B15:O15"/>
    <mergeCell ref="G1:O1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9.421875" style="500" customWidth="1"/>
    <col min="2" max="2" width="15.7109375" style="500" customWidth="1"/>
    <col min="3" max="3" width="13.140625" style="500" customWidth="1"/>
    <col min="4" max="4" width="13.28125" style="500" hidden="1" customWidth="1"/>
    <col min="5" max="5" width="14.7109375" style="500" hidden="1" customWidth="1"/>
    <col min="6" max="6" width="15.57421875" style="500" hidden="1" customWidth="1"/>
    <col min="7" max="7" width="16.00390625" style="500" hidden="1" customWidth="1"/>
    <col min="8" max="10" width="9.140625" style="500" hidden="1" customWidth="1"/>
    <col min="11" max="11" width="10.00390625" style="500" bestFit="1" customWidth="1"/>
    <col min="12" max="13" width="10.8515625" style="500" bestFit="1" customWidth="1"/>
    <col min="14" max="16384" width="9.140625" style="500" customWidth="1"/>
  </cols>
  <sheetData>
    <row r="1" spans="1:7" ht="21" customHeight="1">
      <c r="A1" s="1408" t="s">
        <v>544</v>
      </c>
      <c r="B1" s="1408"/>
      <c r="C1" s="1408"/>
      <c r="D1" s="1408"/>
      <c r="E1" s="1408"/>
      <c r="F1" s="1408"/>
      <c r="G1" s="1408"/>
    </row>
    <row r="2" spans="1:7" ht="21" customHeight="1">
      <c r="A2" s="1193"/>
      <c r="B2" s="1193"/>
      <c r="C2" s="1193" t="s">
        <v>629</v>
      </c>
      <c r="D2" s="1193"/>
      <c r="E2" s="1193"/>
      <c r="F2" s="1193"/>
      <c r="G2" s="1193"/>
    </row>
    <row r="3" spans="1:7" s="501" customFormat="1" ht="51.75" customHeight="1">
      <c r="A3" s="1407" t="s">
        <v>579</v>
      </c>
      <c r="B3" s="1407"/>
      <c r="C3" s="1407"/>
      <c r="D3" s="1407"/>
      <c r="E3" s="1407"/>
      <c r="F3" s="1407"/>
      <c r="G3" s="1407"/>
    </row>
    <row r="4" spans="1:7" ht="15.75" customHeight="1" thickBot="1">
      <c r="A4" s="502"/>
      <c r="B4" s="1409" t="s">
        <v>429</v>
      </c>
      <c r="C4" s="1409"/>
      <c r="D4" s="1409"/>
      <c r="E4" s="1409"/>
      <c r="F4" s="1409"/>
      <c r="G4" s="1409"/>
    </row>
    <row r="5" spans="1:10" s="504" customFormat="1" ht="24" customHeight="1" thickBot="1">
      <c r="A5" s="503" t="s">
        <v>238</v>
      </c>
      <c r="B5" s="522" t="s">
        <v>239</v>
      </c>
      <c r="C5" s="522" t="s">
        <v>214</v>
      </c>
      <c r="D5" s="522" t="s">
        <v>219</v>
      </c>
      <c r="E5" s="522" t="s">
        <v>221</v>
      </c>
      <c r="F5" s="522" t="s">
        <v>419</v>
      </c>
      <c r="G5" s="522" t="s">
        <v>423</v>
      </c>
      <c r="H5" s="522" t="s">
        <v>419</v>
      </c>
      <c r="I5" s="522" t="s">
        <v>423</v>
      </c>
      <c r="J5" s="522" t="s">
        <v>418</v>
      </c>
    </row>
    <row r="6" spans="1:10" s="506" customFormat="1" ht="21" customHeight="1">
      <c r="A6" s="505" t="s">
        <v>240</v>
      </c>
      <c r="B6" s="523">
        <v>90970859</v>
      </c>
      <c r="C6" s="523">
        <v>90970859</v>
      </c>
      <c r="D6" s="523"/>
      <c r="E6" s="523"/>
      <c r="F6" s="523">
        <v>69459609</v>
      </c>
      <c r="G6" s="523"/>
      <c r="H6" s="523"/>
      <c r="I6" s="523"/>
      <c r="J6" s="771" t="e">
        <f>H6/G6</f>
        <v>#DIV/0!</v>
      </c>
    </row>
    <row r="7" spans="1:10" s="506" customFormat="1" ht="21" customHeight="1">
      <c r="A7" s="507" t="s">
        <v>241</v>
      </c>
      <c r="B7" s="524">
        <v>0</v>
      </c>
      <c r="C7" s="524">
        <v>0</v>
      </c>
      <c r="D7" s="524"/>
      <c r="E7" s="524"/>
      <c r="F7" s="524">
        <v>0</v>
      </c>
      <c r="G7" s="524"/>
      <c r="H7" s="524">
        <v>0</v>
      </c>
      <c r="I7" s="524">
        <v>0</v>
      </c>
      <c r="J7" s="1399"/>
    </row>
    <row r="8" spans="1:10" s="506" customFormat="1" ht="21" customHeight="1">
      <c r="A8" s="507" t="s">
        <v>242</v>
      </c>
      <c r="B8" s="524">
        <v>0</v>
      </c>
      <c r="C8" s="524">
        <v>0</v>
      </c>
      <c r="D8" s="524"/>
      <c r="E8" s="524"/>
      <c r="F8" s="524">
        <v>0</v>
      </c>
      <c r="G8" s="524"/>
      <c r="H8" s="524">
        <v>0</v>
      </c>
      <c r="I8" s="524">
        <v>0</v>
      </c>
      <c r="J8" s="1400"/>
    </row>
    <row r="9" spans="1:10" s="506" customFormat="1" ht="21" customHeight="1">
      <c r="A9" s="507" t="s">
        <v>243</v>
      </c>
      <c r="B9" s="524">
        <v>0</v>
      </c>
      <c r="C9" s="524">
        <v>0</v>
      </c>
      <c r="D9" s="524"/>
      <c r="E9" s="524"/>
      <c r="F9" s="524">
        <v>0</v>
      </c>
      <c r="G9" s="524"/>
      <c r="H9" s="524">
        <v>0</v>
      </c>
      <c r="I9" s="524">
        <v>0</v>
      </c>
      <c r="J9" s="1400"/>
    </row>
    <row r="10" spans="1:10" s="506" customFormat="1" ht="21" customHeight="1">
      <c r="A10" s="508" t="s">
        <v>244</v>
      </c>
      <c r="B10" s="524">
        <v>0</v>
      </c>
      <c r="C10" s="524">
        <v>0</v>
      </c>
      <c r="D10" s="524"/>
      <c r="E10" s="524"/>
      <c r="F10" s="524">
        <v>0</v>
      </c>
      <c r="G10" s="524"/>
      <c r="H10" s="524">
        <v>0</v>
      </c>
      <c r="I10" s="524">
        <v>0</v>
      </c>
      <c r="J10" s="1400"/>
    </row>
    <row r="11" spans="1:10" s="506" customFormat="1" ht="21" customHeight="1">
      <c r="A11" s="505" t="s">
        <v>245</v>
      </c>
      <c r="B11" s="525">
        <f>SUM(B7:B10)</f>
        <v>0</v>
      </c>
      <c r="C11" s="525">
        <f>SUM(C7:C10)</f>
        <v>0</v>
      </c>
      <c r="D11" s="525"/>
      <c r="E11" s="525"/>
      <c r="F11" s="525">
        <f>SUM(F7:F10)</f>
        <v>0</v>
      </c>
      <c r="G11" s="525"/>
      <c r="H11" s="525">
        <f>SUM(H7:H10)</f>
        <v>0</v>
      </c>
      <c r="I11" s="525">
        <f>SUM(I7:I10)</f>
        <v>0</v>
      </c>
      <c r="J11" s="1400"/>
    </row>
    <row r="12" spans="1:10" s="506" customFormat="1" ht="21" customHeight="1" hidden="1">
      <c r="A12" s="509" t="s">
        <v>246</v>
      </c>
      <c r="B12" s="525"/>
      <c r="C12" s="525"/>
      <c r="D12" s="525"/>
      <c r="E12" s="525"/>
      <c r="F12" s="525"/>
      <c r="G12" s="525"/>
      <c r="H12" s="525"/>
      <c r="I12" s="525"/>
      <c r="J12" s="1400"/>
    </row>
    <row r="13" spans="1:10" s="506" customFormat="1" ht="21" customHeight="1">
      <c r="A13" s="505" t="s">
        <v>324</v>
      </c>
      <c r="B13" s="525">
        <v>0</v>
      </c>
      <c r="C13" s="525">
        <v>0</v>
      </c>
      <c r="D13" s="525"/>
      <c r="E13" s="525"/>
      <c r="F13" s="525">
        <v>0</v>
      </c>
      <c r="G13" s="525"/>
      <c r="H13" s="525">
        <v>0</v>
      </c>
      <c r="I13" s="525">
        <v>0</v>
      </c>
      <c r="J13" s="1400"/>
    </row>
    <row r="14" spans="1:10" s="506" customFormat="1" ht="21" customHeight="1" hidden="1" thickBot="1">
      <c r="A14" s="505" t="s">
        <v>249</v>
      </c>
      <c r="B14" s="556">
        <v>0</v>
      </c>
      <c r="C14" s="556">
        <v>0</v>
      </c>
      <c r="D14" s="556"/>
      <c r="E14" s="556"/>
      <c r="F14" s="556">
        <v>0</v>
      </c>
      <c r="G14" s="556"/>
      <c r="H14" s="556">
        <v>0</v>
      </c>
      <c r="I14" s="556">
        <v>0</v>
      </c>
      <c r="J14" s="1401"/>
    </row>
    <row r="15" spans="1:10" s="506" customFormat="1" ht="21" customHeight="1" thickBot="1">
      <c r="A15" s="793"/>
      <c r="B15" s="756"/>
      <c r="C15" s="756"/>
      <c r="D15" s="756"/>
      <c r="E15" s="756"/>
      <c r="F15" s="756">
        <v>569468</v>
      </c>
      <c r="G15" s="756"/>
      <c r="H15" s="756"/>
      <c r="I15" s="756"/>
      <c r="J15" s="772" t="e">
        <f>H15/G15</f>
        <v>#DIV/0!</v>
      </c>
    </row>
    <row r="16" spans="1:14" s="512" customFormat="1" ht="24.75" customHeight="1" thickBot="1">
      <c r="A16" s="511" t="s">
        <v>561</v>
      </c>
      <c r="B16" s="526">
        <f>B6+B11-B12+B13+B14+B15</f>
        <v>90970859</v>
      </c>
      <c r="C16" s="526">
        <f>C6+C11-C12+C13+C14+C15</f>
        <v>90970859</v>
      </c>
      <c r="D16" s="526"/>
      <c r="E16" s="526"/>
      <c r="F16" s="526">
        <f>F6+F11-F12+F13+F14+F15</f>
        <v>70029077</v>
      </c>
      <c r="G16" s="526"/>
      <c r="H16" s="526">
        <f>H6+H11-H12+H13+H14+H15</f>
        <v>0</v>
      </c>
      <c r="I16" s="526">
        <f>I6+I11-I12+I13+I14+I15</f>
        <v>0</v>
      </c>
      <c r="J16" s="773" t="e">
        <f>H16/G16</f>
        <v>#DIV/0!</v>
      </c>
      <c r="L16" s="986"/>
      <c r="M16" s="986"/>
      <c r="N16" s="986"/>
    </row>
    <row r="17" spans="1:14" ht="24.75" customHeight="1">
      <c r="A17" s="513" t="s">
        <v>597</v>
      </c>
      <c r="B17" s="523">
        <f>29289050+9600000+2380200</f>
        <v>41269250</v>
      </c>
      <c r="C17" s="523">
        <f>29289050+9600000+2380200</f>
        <v>41269250</v>
      </c>
      <c r="D17" s="523"/>
      <c r="E17" s="523"/>
      <c r="F17" s="523">
        <f>18177593+4800000+8939800+2400000+229200+418900+800727+767984-297993+133454</f>
        <v>36369665</v>
      </c>
      <c r="G17" s="523"/>
      <c r="H17" s="523"/>
      <c r="I17" s="523"/>
      <c r="J17" s="1402"/>
      <c r="M17" s="798"/>
      <c r="N17" s="986"/>
    </row>
    <row r="18" spans="1:10" ht="24.75" customHeight="1" thickBot="1">
      <c r="A18" s="509" t="s">
        <v>247</v>
      </c>
      <c r="B18" s="525">
        <v>6720600</v>
      </c>
      <c r="C18" s="525">
        <v>6720600</v>
      </c>
      <c r="D18" s="525"/>
      <c r="E18" s="525"/>
      <c r="F18" s="525">
        <f>3431400+1688467-27234</f>
        <v>5092633</v>
      </c>
      <c r="G18" s="525"/>
      <c r="H18" s="525"/>
      <c r="I18" s="525"/>
      <c r="J18" s="1403"/>
    </row>
    <row r="19" spans="1:12" s="512" customFormat="1" ht="24.75" customHeight="1" thickBot="1">
      <c r="A19" s="514" t="s">
        <v>325</v>
      </c>
      <c r="B19" s="527">
        <f>SUM(B17:B18)</f>
        <v>47989850</v>
      </c>
      <c r="C19" s="527">
        <f>SUM(C17:C18)</f>
        <v>47989850</v>
      </c>
      <c r="D19" s="527"/>
      <c r="E19" s="527"/>
      <c r="F19" s="527">
        <f>SUM(F17:F18)</f>
        <v>41462298</v>
      </c>
      <c r="G19" s="527"/>
      <c r="H19" s="527">
        <f>SUM(H17:H18)</f>
        <v>0</v>
      </c>
      <c r="I19" s="527">
        <f>SUM(I17:I18)</f>
        <v>0</v>
      </c>
      <c r="J19" s="774" t="e">
        <f>H19/G19</f>
        <v>#DIV/0!</v>
      </c>
      <c r="L19" s="986"/>
    </row>
    <row r="20" spans="1:10" ht="24.75" customHeight="1" hidden="1">
      <c r="A20" s="515" t="s">
        <v>248</v>
      </c>
      <c r="B20" s="528">
        <v>0</v>
      </c>
      <c r="C20" s="528">
        <v>0</v>
      </c>
      <c r="D20" s="528"/>
      <c r="E20" s="528"/>
      <c r="F20" s="528">
        <v>0</v>
      </c>
      <c r="G20" s="528"/>
      <c r="H20" s="528"/>
      <c r="I20" s="528"/>
      <c r="J20" s="1404"/>
    </row>
    <row r="21" spans="1:10" ht="24.75" customHeight="1">
      <c r="A21" s="507" t="s">
        <v>598</v>
      </c>
      <c r="B21" s="529">
        <v>22680000</v>
      </c>
      <c r="C21" s="529">
        <v>22680000</v>
      </c>
      <c r="D21" s="529"/>
      <c r="E21" s="529"/>
      <c r="F21" s="529">
        <v>18000000</v>
      </c>
      <c r="G21" s="529"/>
      <c r="H21" s="529"/>
      <c r="I21" s="529"/>
      <c r="J21" s="1405"/>
    </row>
    <row r="22" spans="1:10" ht="24.75" customHeight="1" hidden="1">
      <c r="A22" s="508" t="s">
        <v>250</v>
      </c>
      <c r="B22" s="529"/>
      <c r="C22" s="529"/>
      <c r="D22" s="529"/>
      <c r="E22" s="529"/>
      <c r="F22" s="529"/>
      <c r="G22" s="529"/>
      <c r="H22" s="529"/>
      <c r="I22" s="529"/>
      <c r="J22" s="1405"/>
    </row>
    <row r="23" spans="1:10" ht="24.75" customHeight="1">
      <c r="A23" s="507" t="s">
        <v>599</v>
      </c>
      <c r="B23" s="529">
        <v>16895560</v>
      </c>
      <c r="C23" s="529">
        <v>16895560</v>
      </c>
      <c r="D23" s="529"/>
      <c r="E23" s="529"/>
      <c r="F23" s="529">
        <f>-913440+17964320</f>
        <v>17050880</v>
      </c>
      <c r="G23" s="1017"/>
      <c r="H23" s="529"/>
      <c r="I23" s="529"/>
      <c r="J23" s="1405"/>
    </row>
    <row r="24" spans="1:10" ht="24.75" customHeight="1">
      <c r="A24" s="507" t="s">
        <v>600</v>
      </c>
      <c r="B24" s="529">
        <v>150000</v>
      </c>
      <c r="C24" s="529">
        <v>150000</v>
      </c>
      <c r="D24" s="529"/>
      <c r="E24" s="529"/>
      <c r="F24" s="529">
        <v>2500000</v>
      </c>
      <c r="G24" s="529"/>
      <c r="H24" s="529"/>
      <c r="I24" s="529"/>
      <c r="J24" s="1405"/>
    </row>
    <row r="25" spans="1:10" ht="24.75" customHeight="1">
      <c r="A25" s="507" t="s">
        <v>601</v>
      </c>
      <c r="B25" s="529">
        <v>62634000</v>
      </c>
      <c r="C25" s="529">
        <v>62634000</v>
      </c>
      <c r="D25" s="529"/>
      <c r="E25" s="529"/>
      <c r="F25" s="529">
        <f>6690000+34125000</f>
        <v>40815000</v>
      </c>
      <c r="G25" s="529"/>
      <c r="H25" s="529"/>
      <c r="I25" s="529"/>
      <c r="J25" s="1405"/>
    </row>
    <row r="26" spans="1:10" ht="24.75" customHeight="1">
      <c r="A26" s="508" t="s">
        <v>602</v>
      </c>
      <c r="B26" s="529">
        <v>6370000</v>
      </c>
      <c r="C26" s="529">
        <v>6370000</v>
      </c>
      <c r="D26" s="529"/>
      <c r="E26" s="529"/>
      <c r="F26" s="529">
        <f>-1349400+7646600</f>
        <v>6297200</v>
      </c>
      <c r="G26" s="529"/>
      <c r="H26" s="529"/>
      <c r="I26" s="529"/>
      <c r="J26" s="1405"/>
    </row>
    <row r="27" spans="1:10" ht="24.75" customHeight="1">
      <c r="A27" s="508" t="s">
        <v>603</v>
      </c>
      <c r="B27" s="529">
        <v>2565000</v>
      </c>
      <c r="C27" s="529">
        <v>2565000</v>
      </c>
      <c r="D27" s="529"/>
      <c r="E27" s="529"/>
      <c r="F27" s="529">
        <v>2452500</v>
      </c>
      <c r="G27" s="529"/>
      <c r="H27" s="529"/>
      <c r="I27" s="529"/>
      <c r="J27" s="1405"/>
    </row>
    <row r="28" spans="1:10" ht="24.75" customHeight="1">
      <c r="A28" s="796" t="s">
        <v>480</v>
      </c>
      <c r="B28" s="529">
        <v>2000000</v>
      </c>
      <c r="C28" s="529">
        <v>2000000</v>
      </c>
      <c r="D28" s="529"/>
      <c r="E28" s="529"/>
      <c r="F28" s="529">
        <v>2000000</v>
      </c>
      <c r="G28" s="529"/>
      <c r="H28" s="529"/>
      <c r="I28" s="529"/>
      <c r="J28" s="1405"/>
    </row>
    <row r="29" spans="1:10" ht="32.25" customHeight="1">
      <c r="A29" s="797" t="s">
        <v>481</v>
      </c>
      <c r="B29" s="529">
        <v>7448000</v>
      </c>
      <c r="C29" s="529">
        <v>7448000</v>
      </c>
      <c r="D29" s="529"/>
      <c r="E29" s="529"/>
      <c r="F29" s="529">
        <v>5400000</v>
      </c>
      <c r="G29" s="529"/>
      <c r="H29" s="529"/>
      <c r="I29" s="529"/>
      <c r="J29" s="1405"/>
    </row>
    <row r="30" spans="1:10" s="516" customFormat="1" ht="24.75" customHeight="1">
      <c r="A30" s="551" t="s">
        <v>251</v>
      </c>
      <c r="B30" s="552">
        <f>SUM(B21,B23:B29)</f>
        <v>120742560</v>
      </c>
      <c r="C30" s="552">
        <f>SUM(C21,C23:C29)</f>
        <v>120742560</v>
      </c>
      <c r="D30" s="552"/>
      <c r="E30" s="552"/>
      <c r="F30" s="552">
        <f>SUM(F21,F23:F29)</f>
        <v>94515580</v>
      </c>
      <c r="G30" s="552"/>
      <c r="H30" s="552">
        <f>SUM(H21,H23:H26)</f>
        <v>0</v>
      </c>
      <c r="I30" s="552">
        <f>SUM(I21,I23:I26)</f>
        <v>0</v>
      </c>
      <c r="J30" s="1405"/>
    </row>
    <row r="31" spans="1:10" s="516" customFormat="1" ht="24.75" customHeight="1">
      <c r="A31" s="553" t="s">
        <v>328</v>
      </c>
      <c r="B31" s="529">
        <v>14652000</v>
      </c>
      <c r="C31" s="529">
        <v>14652000</v>
      </c>
      <c r="D31" s="529"/>
      <c r="E31" s="529"/>
      <c r="F31" s="529">
        <v>10118400</v>
      </c>
      <c r="G31" s="529"/>
      <c r="H31" s="529"/>
      <c r="I31" s="529"/>
      <c r="J31" s="1405"/>
    </row>
    <row r="32" spans="1:10" s="516" customFormat="1" ht="24.75" customHeight="1">
      <c r="A32" s="553" t="s">
        <v>327</v>
      </c>
      <c r="B32" s="529">
        <v>4462799</v>
      </c>
      <c r="C32" s="529">
        <v>4462799</v>
      </c>
      <c r="D32" s="529"/>
      <c r="E32" s="529"/>
      <c r="F32" s="529">
        <v>3783935</v>
      </c>
      <c r="G32" s="529"/>
      <c r="H32" s="529"/>
      <c r="I32" s="529"/>
      <c r="J32" s="1405"/>
    </row>
    <row r="33" spans="1:10" s="516" customFormat="1" ht="24.75" customHeight="1">
      <c r="A33" s="794" t="s">
        <v>432</v>
      </c>
      <c r="B33" s="795">
        <v>36480</v>
      </c>
      <c r="C33" s="795">
        <v>36480</v>
      </c>
      <c r="D33" s="795"/>
      <c r="E33" s="795"/>
      <c r="F33" s="795">
        <f>-4560+143640</f>
        <v>139080</v>
      </c>
      <c r="G33" s="795"/>
      <c r="H33" s="795"/>
      <c r="I33" s="795"/>
      <c r="J33" s="1405"/>
    </row>
    <row r="34" spans="1:10" s="516" customFormat="1" ht="24.75" customHeight="1" thickBot="1">
      <c r="A34" s="554" t="s">
        <v>326</v>
      </c>
      <c r="B34" s="555">
        <f>SUM(B31:B33)</f>
        <v>19151279</v>
      </c>
      <c r="C34" s="555">
        <f>SUM(C31:C33)</f>
        <v>19151279</v>
      </c>
      <c r="D34" s="555"/>
      <c r="E34" s="555"/>
      <c r="F34" s="555">
        <f>SUM(F31:F33)</f>
        <v>14041415</v>
      </c>
      <c r="G34" s="555"/>
      <c r="H34" s="555">
        <f>SUM(H31:H32)</f>
        <v>0</v>
      </c>
      <c r="I34" s="555">
        <f>SUM(I31:I32)</f>
        <v>0</v>
      </c>
      <c r="J34" s="1405"/>
    </row>
    <row r="35" spans="1:10" s="516" customFormat="1" ht="24.75" customHeight="1" thickBot="1">
      <c r="A35" s="757" t="s">
        <v>562</v>
      </c>
      <c r="B35" s="758">
        <v>8979000</v>
      </c>
      <c r="C35" s="758">
        <v>8979000</v>
      </c>
      <c r="D35" s="758"/>
      <c r="E35" s="758"/>
      <c r="F35" s="758">
        <f>2966139+1202088+1105977+4767278+1515184</f>
        <v>11556666</v>
      </c>
      <c r="G35" s="758"/>
      <c r="H35" s="758"/>
      <c r="I35" s="758"/>
      <c r="J35" s="1406"/>
    </row>
    <row r="36" spans="1:10" s="516" customFormat="1" ht="24.75" customHeight="1" thickBot="1">
      <c r="A36" s="757" t="s">
        <v>563</v>
      </c>
      <c r="B36" s="758">
        <v>3664000</v>
      </c>
      <c r="C36" s="758">
        <v>3664000</v>
      </c>
      <c r="D36" s="758"/>
      <c r="E36" s="758"/>
      <c r="F36" s="758"/>
      <c r="G36" s="758"/>
      <c r="H36" s="758"/>
      <c r="I36" s="758"/>
      <c r="J36" s="799"/>
    </row>
    <row r="37" spans="1:10" s="516" customFormat="1" ht="24.75" customHeight="1" hidden="1" thickBot="1">
      <c r="A37" s="757" t="s">
        <v>617</v>
      </c>
      <c r="B37" s="758"/>
      <c r="C37" s="758"/>
      <c r="D37" s="758"/>
      <c r="E37" s="758"/>
      <c r="F37" s="758"/>
      <c r="G37" s="758"/>
      <c r="H37" s="758"/>
      <c r="I37" s="758"/>
      <c r="J37" s="799"/>
    </row>
    <row r="38" spans="1:12" s="517" customFormat="1" ht="24.75" customHeight="1" thickBot="1">
      <c r="A38" s="514" t="s">
        <v>329</v>
      </c>
      <c r="B38" s="527">
        <f>B20+B30+B34+B35+B36</f>
        <v>152536839</v>
      </c>
      <c r="C38" s="527">
        <f>C20+C30+C34+C35+C36+C37</f>
        <v>152536839</v>
      </c>
      <c r="D38" s="527"/>
      <c r="E38" s="527"/>
      <c r="F38" s="527">
        <f>F20+F30+F34+F35</f>
        <v>120113661</v>
      </c>
      <c r="G38" s="987"/>
      <c r="H38" s="527">
        <f>H20+H30+H34+H35</f>
        <v>0</v>
      </c>
      <c r="I38" s="527">
        <f>I20+I30+I34+I35</f>
        <v>0</v>
      </c>
      <c r="J38" s="774" t="e">
        <f>H38/G38</f>
        <v>#DIV/0!</v>
      </c>
      <c r="L38" s="1043"/>
    </row>
    <row r="39" spans="1:11" s="516" customFormat="1" ht="24.75" customHeight="1" thickBot="1">
      <c r="A39" s="518" t="s">
        <v>330</v>
      </c>
      <c r="B39" s="530">
        <v>3228831</v>
      </c>
      <c r="C39" s="530">
        <v>3228831</v>
      </c>
      <c r="D39" s="530"/>
      <c r="E39" s="530"/>
      <c r="F39" s="530">
        <v>3057480</v>
      </c>
      <c r="G39" s="530"/>
      <c r="H39" s="530"/>
      <c r="I39" s="530"/>
      <c r="J39" s="775" t="e">
        <f>H39/G39</f>
        <v>#DIV/0!</v>
      </c>
      <c r="K39" s="984"/>
    </row>
    <row r="40" spans="1:10" ht="24.75" customHeight="1">
      <c r="A40" s="979" t="s">
        <v>548</v>
      </c>
      <c r="B40" s="531"/>
      <c r="C40" s="531">
        <v>494445</v>
      </c>
      <c r="D40" s="531"/>
      <c r="E40" s="531"/>
      <c r="F40" s="531"/>
      <c r="G40" s="531"/>
      <c r="H40" s="531"/>
      <c r="I40" s="531"/>
      <c r="J40" s="776"/>
    </row>
    <row r="41" spans="1:10" ht="24.75" customHeight="1">
      <c r="A41" s="510" t="s">
        <v>618</v>
      </c>
      <c r="B41" s="532"/>
      <c r="C41" s="532">
        <v>375300</v>
      </c>
      <c r="D41" s="532"/>
      <c r="E41" s="532"/>
      <c r="F41" s="532">
        <f>283506+74420+148842</f>
        <v>506768</v>
      </c>
      <c r="G41" s="532"/>
      <c r="H41" s="532"/>
      <c r="I41" s="532"/>
      <c r="J41" s="777"/>
    </row>
    <row r="42" spans="1:10" ht="24.75" customHeight="1">
      <c r="A42" s="510" t="s">
        <v>421</v>
      </c>
      <c r="B42" s="532"/>
      <c r="C42" s="532">
        <v>10995306</v>
      </c>
      <c r="D42" s="532"/>
      <c r="E42" s="532"/>
      <c r="F42" s="532"/>
      <c r="G42" s="532"/>
      <c r="H42" s="532"/>
      <c r="I42" s="532"/>
      <c r="J42" s="777"/>
    </row>
    <row r="43" spans="1:12" s="520" customFormat="1" ht="26.25" customHeight="1" thickBot="1">
      <c r="A43" s="519" t="s">
        <v>24</v>
      </c>
      <c r="B43" s="533">
        <f>B16+B19+B38+B39</f>
        <v>294726379</v>
      </c>
      <c r="C43" s="533">
        <f>C16+C19+C38+C39+C40+C41+C42</f>
        <v>306591430</v>
      </c>
      <c r="D43" s="533" t="e">
        <f>D16+D19+D38+D39+#REF!+#REF!+D41+#REF!+#REF!+#REF!</f>
        <v>#REF!</v>
      </c>
      <c r="E43" s="533" t="e">
        <f>E16+E19+E38+E39+#REF!+#REF!+E41+#REF!+#REF!+#REF!+#REF!+#REF!</f>
        <v>#REF!</v>
      </c>
      <c r="F43" s="533" t="e">
        <f>F16+F19+F38+F39+#REF!+#REF!+F41+#REF!</f>
        <v>#REF!</v>
      </c>
      <c r="G43" s="533"/>
      <c r="H43" s="533" t="e">
        <f>H16+H19+H38+H39+#REF!</f>
        <v>#REF!</v>
      </c>
      <c r="I43" s="533" t="e">
        <f>I16+I19+I38+I39+#REF!</f>
        <v>#REF!</v>
      </c>
      <c r="J43" s="533" t="e">
        <f>J16+J19+J38+J39+#REF!</f>
        <v>#DIV/0!</v>
      </c>
      <c r="K43" s="985"/>
      <c r="L43" s="985"/>
    </row>
    <row r="44" ht="15" hidden="1">
      <c r="B44" s="798">
        <f>'3.sz.m Önk  bev.'!E34</f>
        <v>294726379</v>
      </c>
    </row>
    <row r="45" spans="1:2" ht="15" hidden="1">
      <c r="A45" s="521"/>
      <c r="B45" s="798">
        <f>B43-B44</f>
        <v>0</v>
      </c>
    </row>
    <row r="46" spans="2:5" ht="15">
      <c r="B46" s="798"/>
      <c r="C46" s="798"/>
      <c r="E46" s="798"/>
    </row>
    <row r="47" spans="2:7" ht="15">
      <c r="B47" s="798"/>
      <c r="D47" s="798"/>
      <c r="E47" s="798"/>
      <c r="F47" s="798"/>
      <c r="G47" s="798"/>
    </row>
    <row r="48" spans="2:7" ht="15">
      <c r="B48" s="798"/>
      <c r="C48" s="798"/>
      <c r="D48" s="798"/>
      <c r="G48" s="798"/>
    </row>
    <row r="50" ht="15">
      <c r="D50" s="798"/>
    </row>
  </sheetData>
  <sheetProtection/>
  <mergeCells count="6">
    <mergeCell ref="J7:J14"/>
    <mergeCell ref="J17:J18"/>
    <mergeCell ref="J20:J35"/>
    <mergeCell ref="A3:G3"/>
    <mergeCell ref="A1:G1"/>
    <mergeCell ref="B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26"/>
  <sheetViews>
    <sheetView workbookViewId="0" topLeftCell="B1">
      <selection activeCell="K2" sqref="K2"/>
    </sheetView>
  </sheetViews>
  <sheetFormatPr defaultColWidth="9.140625" defaultRowHeight="12.75"/>
  <cols>
    <col min="1" max="1" width="5.8515625" style="1099" customWidth="1"/>
    <col min="2" max="2" width="42.57421875" style="1098" customWidth="1"/>
    <col min="3" max="8" width="11.00390625" style="1098" customWidth="1"/>
    <col min="9" max="9" width="12.28125" style="1098" customWidth="1"/>
    <col min="10" max="10" width="2.8515625" style="1098" customWidth="1"/>
    <col min="11" max="16384" width="9.140625" style="1098" customWidth="1"/>
  </cols>
  <sheetData>
    <row r="1" spans="1:9" ht="27.75" customHeight="1">
      <c r="A1" s="1413" t="s">
        <v>520</v>
      </c>
      <c r="B1" s="1413"/>
      <c r="C1" s="1413"/>
      <c r="D1" s="1413"/>
      <c r="E1" s="1413"/>
      <c r="F1" s="1413"/>
      <c r="G1" s="1413"/>
      <c r="H1" s="1413"/>
      <c r="I1" s="1413"/>
    </row>
    <row r="2" ht="20.25" customHeight="1" thickBot="1">
      <c r="I2" s="1100" t="str">
        <f>'[1]1. sz tájékoztató t.'!E2</f>
        <v>Forintban!</v>
      </c>
    </row>
    <row r="3" spans="1:9" s="1101" customFormat="1" ht="26.25" customHeight="1">
      <c r="A3" s="1414" t="s">
        <v>521</v>
      </c>
      <c r="B3" s="1416" t="s">
        <v>522</v>
      </c>
      <c r="C3" s="1414" t="s">
        <v>523</v>
      </c>
      <c r="D3" s="1418" t="s">
        <v>580</v>
      </c>
      <c r="E3" s="1420" t="s">
        <v>524</v>
      </c>
      <c r="F3" s="1421"/>
      <c r="G3" s="1421"/>
      <c r="H3" s="1422"/>
      <c r="I3" s="1416" t="s">
        <v>1</v>
      </c>
    </row>
    <row r="4" spans="1:9" s="1104" customFormat="1" ht="32.25" customHeight="1" thickBot="1">
      <c r="A4" s="1415"/>
      <c r="B4" s="1417"/>
      <c r="C4" s="1417"/>
      <c r="D4" s="1419"/>
      <c r="E4" s="1102" t="s">
        <v>541</v>
      </c>
      <c r="F4" s="1102" t="s">
        <v>564</v>
      </c>
      <c r="G4" s="1102" t="s">
        <v>604</v>
      </c>
      <c r="H4" s="1103" t="s">
        <v>605</v>
      </c>
      <c r="I4" s="1417"/>
    </row>
    <row r="5" spans="1:9" s="1110" customFormat="1" ht="12.75" customHeight="1" thickBot="1">
      <c r="A5" s="1105" t="s">
        <v>525</v>
      </c>
      <c r="B5" s="1106" t="s">
        <v>14</v>
      </c>
      <c r="C5" s="1107" t="s">
        <v>526</v>
      </c>
      <c r="D5" s="1106" t="s">
        <v>527</v>
      </c>
      <c r="E5" s="1105" t="s">
        <v>528</v>
      </c>
      <c r="F5" s="1107" t="s">
        <v>15</v>
      </c>
      <c r="G5" s="1107" t="s">
        <v>529</v>
      </c>
      <c r="H5" s="1108" t="s">
        <v>512</v>
      </c>
      <c r="I5" s="1109" t="s">
        <v>530</v>
      </c>
    </row>
    <row r="6" spans="1:9" ht="24.75" customHeight="1" thickBot="1">
      <c r="A6" s="1111" t="s">
        <v>26</v>
      </c>
      <c r="B6" s="1111" t="s">
        <v>531</v>
      </c>
      <c r="C6" s="1112"/>
      <c r="D6" s="1113">
        <f>+D7+D8</f>
        <v>0</v>
      </c>
      <c r="E6" s="1114">
        <f>+E7+E8</f>
        <v>0</v>
      </c>
      <c r="F6" s="1115">
        <f>+F7+F8</f>
        <v>0</v>
      </c>
      <c r="G6" s="1115">
        <f>+G7+G8</f>
        <v>0</v>
      </c>
      <c r="H6" s="1116">
        <f>+H7+H8</f>
        <v>0</v>
      </c>
      <c r="I6" s="1117">
        <f aca="true" t="shared" si="0" ref="I6:I25">SUM(D6:H6)</f>
        <v>0</v>
      </c>
    </row>
    <row r="7" spans="1:10" ht="19.5" customHeight="1">
      <c r="A7" s="1118" t="s">
        <v>27</v>
      </c>
      <c r="B7" s="1118" t="s">
        <v>532</v>
      </c>
      <c r="C7" s="1119"/>
      <c r="D7" s="1120"/>
      <c r="E7" s="1121"/>
      <c r="F7" s="1122"/>
      <c r="G7" s="1122"/>
      <c r="H7" s="1123"/>
      <c r="I7" s="1124">
        <f t="shared" si="0"/>
        <v>0</v>
      </c>
      <c r="J7" s="1410"/>
    </row>
    <row r="8" spans="1:10" ht="19.5" customHeight="1" thickBot="1">
      <c r="A8" s="1118" t="s">
        <v>9</v>
      </c>
      <c r="B8" s="1118" t="s">
        <v>532</v>
      </c>
      <c r="C8" s="1119"/>
      <c r="D8" s="1120"/>
      <c r="E8" s="1121"/>
      <c r="F8" s="1122"/>
      <c r="G8" s="1122"/>
      <c r="H8" s="1123"/>
      <c r="I8" s="1124">
        <f t="shared" si="0"/>
        <v>0</v>
      </c>
      <c r="J8" s="1410"/>
    </row>
    <row r="9" spans="1:10" ht="25.5" customHeight="1" thickBot="1">
      <c r="A9" s="1111" t="s">
        <v>10</v>
      </c>
      <c r="B9" s="1111" t="s">
        <v>533</v>
      </c>
      <c r="C9" s="1112"/>
      <c r="D9" s="1113">
        <f>+D10+D11</f>
        <v>0</v>
      </c>
      <c r="E9" s="1114">
        <f>+E10+E11</f>
        <v>0</v>
      </c>
      <c r="F9" s="1115">
        <f>+F10+F11</f>
        <v>0</v>
      </c>
      <c r="G9" s="1115">
        <f>+G10+G11</f>
        <v>0</v>
      </c>
      <c r="H9" s="1116">
        <f>+H10+H11</f>
        <v>0</v>
      </c>
      <c r="I9" s="1117">
        <f t="shared" si="0"/>
        <v>0</v>
      </c>
      <c r="J9" s="1410"/>
    </row>
    <row r="10" spans="1:10" ht="19.5" customHeight="1">
      <c r="A10" s="1118" t="s">
        <v>11</v>
      </c>
      <c r="B10" s="1118" t="s">
        <v>543</v>
      </c>
      <c r="C10" s="1119"/>
      <c r="D10" s="1120"/>
      <c r="E10" s="1121"/>
      <c r="F10" s="1122">
        <f>+'[4]11. sz adósság kötelezettség'!D7</f>
        <v>0</v>
      </c>
      <c r="G10" s="1122"/>
      <c r="H10" s="1123"/>
      <c r="I10" s="1124">
        <f t="shared" si="0"/>
        <v>0</v>
      </c>
      <c r="J10" s="1410"/>
    </row>
    <row r="11" spans="1:10" ht="19.5" customHeight="1" thickBot="1">
      <c r="A11" s="1118" t="s">
        <v>12</v>
      </c>
      <c r="B11" s="1118" t="s">
        <v>532</v>
      </c>
      <c r="C11" s="1119"/>
      <c r="D11" s="1120"/>
      <c r="E11" s="1121"/>
      <c r="F11" s="1122"/>
      <c r="G11" s="1122"/>
      <c r="H11" s="1123"/>
      <c r="I11" s="1124">
        <f t="shared" si="0"/>
        <v>0</v>
      </c>
      <c r="J11" s="1410"/>
    </row>
    <row r="12" spans="1:10" ht="19.5" customHeight="1" thickBot="1">
      <c r="A12" s="1111" t="s">
        <v>13</v>
      </c>
      <c r="B12" s="1111" t="s">
        <v>534</v>
      </c>
      <c r="C12" s="1112"/>
      <c r="D12" s="1113">
        <f>SUM(D13:D16)</f>
        <v>808000</v>
      </c>
      <c r="E12" s="1114">
        <f>SUM(E13:E16)</f>
        <v>61732556</v>
      </c>
      <c r="F12" s="1115">
        <f>SUM(F13:F17)</f>
        <v>0</v>
      </c>
      <c r="G12" s="1115">
        <f>SUM(G13:G17)</f>
        <v>0</v>
      </c>
      <c r="H12" s="1116">
        <f>SUM(H13:H17)</f>
        <v>0</v>
      </c>
      <c r="I12" s="1117">
        <f>SUM(D12:H12)</f>
        <v>62540556</v>
      </c>
      <c r="J12" s="1410"/>
    </row>
    <row r="13" spans="1:10" ht="79.5" customHeight="1">
      <c r="A13" s="1125" t="s">
        <v>54</v>
      </c>
      <c r="B13" s="1118" t="str">
        <f>+'6.a.sz.m.fejlesztés (4)'!B10</f>
        <v>Magyar Falu Program -  vicai faluház újraépítése</v>
      </c>
      <c r="C13" s="1132" t="s">
        <v>606</v>
      </c>
      <c r="D13" s="1120">
        <v>808000</v>
      </c>
      <c r="E13" s="1121">
        <f>+'6.a.sz.m.fejlesztés (4)'!D10</f>
        <v>45000000</v>
      </c>
      <c r="F13" s="1128"/>
      <c r="G13" s="1128"/>
      <c r="H13" s="1129"/>
      <c r="I13" s="1130">
        <f t="shared" si="0"/>
        <v>45808000</v>
      </c>
      <c r="J13" s="1410"/>
    </row>
    <row r="14" spans="1:10" ht="22.5" hidden="1">
      <c r="A14" s="1131" t="s">
        <v>55</v>
      </c>
      <c r="B14" s="1131" t="s">
        <v>536</v>
      </c>
      <c r="C14" s="1132" t="s">
        <v>535</v>
      </c>
      <c r="D14" s="1133"/>
      <c r="E14" s="1134"/>
      <c r="F14" s="1135"/>
      <c r="G14" s="1135"/>
      <c r="H14" s="1136"/>
      <c r="I14" s="1124">
        <f t="shared" si="0"/>
        <v>0</v>
      </c>
      <c r="J14" s="1410"/>
    </row>
    <row r="15" spans="1:10" ht="13.5" thickBot="1">
      <c r="A15" s="1131" t="s">
        <v>55</v>
      </c>
      <c r="B15" s="1137" t="s">
        <v>611</v>
      </c>
      <c r="C15" s="1132"/>
      <c r="D15" s="1133"/>
      <c r="E15" s="1134">
        <f>+'6.a.sz.m.fejlesztés (4)'!E11</f>
        <v>16732556</v>
      </c>
      <c r="F15" s="1135"/>
      <c r="G15" s="1135"/>
      <c r="H15" s="1136"/>
      <c r="I15" s="1124">
        <f t="shared" si="0"/>
        <v>16732556</v>
      </c>
      <c r="J15" s="1410"/>
    </row>
    <row r="16" spans="1:10" ht="13.5" thickBot="1">
      <c r="A16" s="1131" t="s">
        <v>382</v>
      </c>
      <c r="B16" s="1137" t="s">
        <v>532</v>
      </c>
      <c r="C16" s="1132"/>
      <c r="D16" s="1120"/>
      <c r="E16" s="1121"/>
      <c r="F16" s="1135"/>
      <c r="G16" s="1135"/>
      <c r="H16" s="1136"/>
      <c r="I16" s="1124">
        <f t="shared" si="0"/>
        <v>0</v>
      </c>
      <c r="J16" s="1410"/>
    </row>
    <row r="17" spans="1:10" ht="13.5" thickBot="1">
      <c r="A17" s="1118" t="s">
        <v>402</v>
      </c>
      <c r="B17" s="1137" t="s">
        <v>532</v>
      </c>
      <c r="C17" s="1138"/>
      <c r="D17" s="1139"/>
      <c r="E17" s="1140"/>
      <c r="F17" s="1141"/>
      <c r="G17" s="1141"/>
      <c r="H17" s="1142"/>
      <c r="I17" s="1143">
        <f t="shared" si="0"/>
        <v>0</v>
      </c>
      <c r="J17" s="1410"/>
    </row>
    <row r="18" spans="1:10" ht="19.5" customHeight="1" thickBot="1">
      <c r="A18" s="1111" t="s">
        <v>403</v>
      </c>
      <c r="B18" s="1111" t="s">
        <v>537</v>
      </c>
      <c r="C18" s="1112"/>
      <c r="D18" s="1144">
        <f>SUM(D19:D21)</f>
        <v>2366900</v>
      </c>
      <c r="E18" s="1144">
        <f>SUM(E19:E21)</f>
        <v>151017982</v>
      </c>
      <c r="F18" s="1145">
        <f>SUM(F19:F21)</f>
        <v>0</v>
      </c>
      <c r="G18" s="1145">
        <f>SUM(G19:G21)</f>
        <v>0</v>
      </c>
      <c r="H18" s="1146">
        <f>SUM(H19:H21)</f>
        <v>0</v>
      </c>
      <c r="I18" s="1117">
        <f>SUM(D18:H18)</f>
        <v>153384882</v>
      </c>
      <c r="J18" s="1410"/>
    </row>
    <row r="19" spans="1:10" ht="19.5" customHeight="1">
      <c r="A19" s="1147" t="s">
        <v>405</v>
      </c>
      <c r="B19" s="1147" t="str">
        <f>+'[4]7.a.sz.m.fejlesztés (4)'!B47</f>
        <v>MFP - Egészségház felújítása</v>
      </c>
      <c r="C19" s="1132" t="s">
        <v>606</v>
      </c>
      <c r="D19" s="1148">
        <v>1651000</v>
      </c>
      <c r="E19" s="1144">
        <f>+'6.a.sz.m.fejlesztés (4)'!D29</f>
        <v>88570024</v>
      </c>
      <c r="F19" s="1145"/>
      <c r="G19" s="1145"/>
      <c r="H19" s="1146"/>
      <c r="I19" s="1124">
        <f t="shared" si="0"/>
        <v>90221024</v>
      </c>
      <c r="J19" s="1410"/>
    </row>
    <row r="20" spans="1:10" ht="19.5" customHeight="1">
      <c r="A20" s="1118" t="s">
        <v>407</v>
      </c>
      <c r="B20" s="1131" t="str">
        <f>+'[4]7.a.sz.m.fejlesztés (4)'!B49</f>
        <v>MFP útfelújítás</v>
      </c>
      <c r="C20" s="1132" t="s">
        <v>606</v>
      </c>
      <c r="D20" s="1120">
        <v>500000</v>
      </c>
      <c r="E20" s="1121">
        <f>+'6.a.sz.m.fejlesztés (4)'!E30</f>
        <v>56734459</v>
      </c>
      <c r="F20" s="1122"/>
      <c r="G20" s="1122"/>
      <c r="H20" s="1123"/>
      <c r="I20" s="1124">
        <f t="shared" si="0"/>
        <v>57234459</v>
      </c>
      <c r="J20" s="1410"/>
    </row>
    <row r="21" spans="1:10" ht="19.5" customHeight="1">
      <c r="A21" s="1118" t="s">
        <v>409</v>
      </c>
      <c r="B21" s="1131" t="str">
        <f>+'[4]7.a.sz.m.fejlesztés (4)'!B50</f>
        <v>MFP óvodaudvar - kerítésfelújítás</v>
      </c>
      <c r="C21" s="1132" t="s">
        <v>606</v>
      </c>
      <c r="D21" s="1120">
        <v>215900</v>
      </c>
      <c r="E21" s="1121">
        <f>+'6.a.sz.m.fejlesztés (4)'!D31</f>
        <v>5713499</v>
      </c>
      <c r="F21" s="1122"/>
      <c r="G21" s="1122"/>
      <c r="H21" s="1123"/>
      <c r="I21" s="1124">
        <f t="shared" si="0"/>
        <v>5929399</v>
      </c>
      <c r="J21" s="1410"/>
    </row>
    <row r="22" spans="1:10" ht="19.5" customHeight="1" thickBot="1">
      <c r="A22" s="1118" t="s">
        <v>538</v>
      </c>
      <c r="B22" s="1131" t="s">
        <v>589</v>
      </c>
      <c r="C22" s="1132" t="s">
        <v>606</v>
      </c>
      <c r="D22" s="1120"/>
      <c r="E22" s="1121">
        <f>+'6.a.sz.m.fejlesztés (4)'!D32</f>
        <v>26000000</v>
      </c>
      <c r="F22" s="1122"/>
      <c r="G22" s="1122"/>
      <c r="H22" s="1123"/>
      <c r="I22" s="1124">
        <f t="shared" si="0"/>
        <v>26000000</v>
      </c>
      <c r="J22" s="1410"/>
    </row>
    <row r="23" spans="1:10" ht="19.5" customHeight="1" thickBot="1">
      <c r="A23" s="1111" t="s">
        <v>539</v>
      </c>
      <c r="B23" s="1111" t="s">
        <v>540</v>
      </c>
      <c r="C23" s="1112"/>
      <c r="D23" s="1113">
        <f>+D24</f>
        <v>75974857</v>
      </c>
      <c r="E23" s="1114">
        <f>+E24</f>
        <v>18973144</v>
      </c>
      <c r="F23" s="1115">
        <f>+F24</f>
        <v>0</v>
      </c>
      <c r="G23" s="1115">
        <f>+G25</f>
        <v>0</v>
      </c>
      <c r="H23" s="1116">
        <f>+H25</f>
        <v>0</v>
      </c>
      <c r="I23" s="1117">
        <f t="shared" si="0"/>
        <v>94948001</v>
      </c>
      <c r="J23" s="1410"/>
    </row>
    <row r="24" spans="1:10" ht="26.25" customHeight="1">
      <c r="A24" s="1149">
        <v>18</v>
      </c>
      <c r="B24" s="1118" t="s">
        <v>591</v>
      </c>
      <c r="C24" s="1126"/>
      <c r="D24" s="1127">
        <v>75974857</v>
      </c>
      <c r="E24" s="1150">
        <v>18973144</v>
      </c>
      <c r="F24" s="1128"/>
      <c r="G24" s="1128"/>
      <c r="H24" s="1129"/>
      <c r="I24" s="1124">
        <f t="shared" si="0"/>
        <v>94948001</v>
      </c>
      <c r="J24" s="1410"/>
    </row>
    <row r="25" spans="1:10" ht="20.25" customHeight="1" thickBot="1">
      <c r="A25" s="1118" t="s">
        <v>590</v>
      </c>
      <c r="B25" s="1118" t="s">
        <v>532</v>
      </c>
      <c r="C25" s="1151"/>
      <c r="D25" s="1152"/>
      <c r="E25" s="1153"/>
      <c r="F25" s="1154"/>
      <c r="G25" s="1154"/>
      <c r="H25" s="1155"/>
      <c r="I25" s="1143">
        <f t="shared" si="0"/>
        <v>0</v>
      </c>
      <c r="J25" s="1410"/>
    </row>
    <row r="26" spans="1:10" ht="19.5" customHeight="1" thickBot="1">
      <c r="A26" s="1411" t="s">
        <v>542</v>
      </c>
      <c r="B26" s="1412"/>
      <c r="C26" s="1156"/>
      <c r="D26" s="1113">
        <f aca="true" t="shared" si="1" ref="D26:I26">+D6+D9+D12+D18+D23</f>
        <v>79149757</v>
      </c>
      <c r="E26" s="1114">
        <f t="shared" si="1"/>
        <v>231723682</v>
      </c>
      <c r="F26" s="1115">
        <f t="shared" si="1"/>
        <v>0</v>
      </c>
      <c r="G26" s="1115">
        <f t="shared" si="1"/>
        <v>0</v>
      </c>
      <c r="H26" s="1116">
        <f t="shared" si="1"/>
        <v>0</v>
      </c>
      <c r="I26" s="1117">
        <f t="shared" si="1"/>
        <v>310873439</v>
      </c>
      <c r="J26" s="1410"/>
    </row>
  </sheetData>
  <sheetProtection/>
  <mergeCells count="9">
    <mergeCell ref="J7:J26"/>
    <mergeCell ref="A26:B26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82" r:id="rId1"/>
  <headerFooter alignWithMargins="0">
    <oddHeader xml:space="preserve">&amp;R13. számú melléklet
(15. számú mellléklet a 4/2020. (III.13.) önkormányzati rendelethez)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57" sqref="C57"/>
    </sheetView>
  </sheetViews>
  <sheetFormatPr defaultColWidth="9.140625" defaultRowHeight="12.75"/>
  <cols>
    <col min="1" max="1" width="8.28125" style="273" customWidth="1"/>
    <col min="2" max="2" width="8.28125" style="267" customWidth="1"/>
    <col min="3" max="3" width="52.00390625" style="267" customWidth="1"/>
    <col min="4" max="6" width="8.28125" style="267" bestFit="1" customWidth="1"/>
    <col min="7" max="7" width="7.421875" style="267" bestFit="1" customWidth="1"/>
    <col min="8" max="8" width="8.421875" style="267" bestFit="1" customWidth="1"/>
    <col min="9" max="9" width="8.8515625" style="267" hidden="1" customWidth="1"/>
    <col min="10" max="12" width="8.28125" style="267" bestFit="1" customWidth="1"/>
    <col min="13" max="13" width="7.421875" style="267" bestFit="1" customWidth="1"/>
    <col min="14" max="14" width="8.421875" style="267" bestFit="1" customWidth="1"/>
    <col min="15" max="15" width="8.8515625" style="267" hidden="1" customWidth="1"/>
    <col min="16" max="16" width="12.421875" style="267" bestFit="1" customWidth="1"/>
    <col min="17" max="17" width="4.57421875" style="267" hidden="1" customWidth="1"/>
    <col min="18" max="18" width="0" style="267" hidden="1" customWidth="1"/>
    <col min="19" max="19" width="10.00390625" style="267" hidden="1" customWidth="1"/>
    <col min="20" max="20" width="0" style="267" hidden="1" customWidth="1"/>
    <col min="21" max="16384" width="9.140625" style="267" customWidth="1"/>
  </cols>
  <sheetData>
    <row r="1" spans="1:16" s="102" customFormat="1" ht="21" customHeight="1" hidden="1">
      <c r="A1" s="98"/>
      <c r="B1" s="99"/>
      <c r="C1" s="100"/>
      <c r="D1" s="101"/>
      <c r="E1" s="101"/>
      <c r="F1" s="101"/>
      <c r="G1" s="101"/>
      <c r="H1" s="101"/>
      <c r="I1" s="101"/>
      <c r="J1" s="1423"/>
      <c r="K1" s="1423"/>
      <c r="L1" s="1423"/>
      <c r="M1" s="1423"/>
      <c r="N1" s="1423"/>
      <c r="O1" s="1423"/>
      <c r="P1" s="1423"/>
    </row>
    <row r="2" spans="1:16" s="105" customFormat="1" ht="25.5" customHeight="1" hidden="1" thickBot="1">
      <c r="A2" s="1285"/>
      <c r="B2" s="1285"/>
      <c r="C2" s="1285"/>
      <c r="D2" s="1285"/>
      <c r="E2" s="1285"/>
      <c r="F2" s="1285"/>
      <c r="G2" s="1285"/>
      <c r="H2" s="1285"/>
      <c r="I2" s="1285"/>
      <c r="J2" s="1285"/>
      <c r="K2" s="1285"/>
      <c r="L2" s="1285"/>
      <c r="M2" s="1285"/>
      <c r="N2" s="1285"/>
      <c r="O2" s="1285"/>
      <c r="P2" s="1285"/>
    </row>
    <row r="3" spans="1:20" s="108" customFormat="1" ht="40.5" customHeight="1" hidden="1" thickBot="1">
      <c r="A3" s="106"/>
      <c r="B3" s="106"/>
      <c r="C3" s="106"/>
      <c r="D3" s="1292" t="s">
        <v>4</v>
      </c>
      <c r="E3" s="1293"/>
      <c r="F3" s="1293"/>
      <c r="G3" s="1293"/>
      <c r="H3" s="1293"/>
      <c r="I3" s="1294"/>
      <c r="J3" s="1292" t="s">
        <v>102</v>
      </c>
      <c r="K3" s="1293"/>
      <c r="L3" s="1293"/>
      <c r="M3" s="1293"/>
      <c r="N3" s="1293"/>
      <c r="O3" s="1294"/>
      <c r="P3" s="1424" t="s">
        <v>149</v>
      </c>
      <c r="Q3" s="1425"/>
      <c r="R3" s="1425"/>
      <c r="S3" s="1426"/>
      <c r="T3" s="451"/>
    </row>
    <row r="4" spans="1:19" ht="24.75" hidden="1" thickBot="1">
      <c r="A4" s="1283" t="s">
        <v>103</v>
      </c>
      <c r="B4" s="1284"/>
      <c r="C4" s="433" t="s">
        <v>104</v>
      </c>
      <c r="D4" s="423" t="s">
        <v>62</v>
      </c>
      <c r="E4" s="109" t="s">
        <v>215</v>
      </c>
      <c r="F4" s="109" t="s">
        <v>218</v>
      </c>
      <c r="G4" s="109" t="s">
        <v>220</v>
      </c>
      <c r="H4" s="109" t="s">
        <v>232</v>
      </c>
      <c r="I4" s="394" t="s">
        <v>224</v>
      </c>
      <c r="J4" s="423" t="s">
        <v>62</v>
      </c>
      <c r="K4" s="109" t="s">
        <v>215</v>
      </c>
      <c r="L4" s="109" t="s">
        <v>218</v>
      </c>
      <c r="M4" s="109" t="s">
        <v>220</v>
      </c>
      <c r="N4" s="109" t="s">
        <v>232</v>
      </c>
      <c r="O4" s="394" t="s">
        <v>224</v>
      </c>
      <c r="P4" s="423" t="s">
        <v>233</v>
      </c>
      <c r="Q4" s="109" t="s">
        <v>229</v>
      </c>
      <c r="R4" s="109" t="s">
        <v>218</v>
      </c>
      <c r="S4" s="394" t="s">
        <v>218</v>
      </c>
    </row>
    <row r="5" spans="1:19" s="114" customFormat="1" ht="12.75" customHeight="1" hidden="1" thickBot="1">
      <c r="A5" s="111">
        <v>1</v>
      </c>
      <c r="B5" s="112">
        <v>2</v>
      </c>
      <c r="C5" s="257">
        <v>3</v>
      </c>
      <c r="D5" s="111"/>
      <c r="E5" s="112"/>
      <c r="F5" s="112"/>
      <c r="G5" s="112"/>
      <c r="H5" s="112"/>
      <c r="I5" s="113"/>
      <c r="J5" s="111"/>
      <c r="K5" s="112"/>
      <c r="L5" s="112"/>
      <c r="M5" s="112"/>
      <c r="N5" s="112"/>
      <c r="O5" s="113"/>
      <c r="P5" s="111"/>
      <c r="Q5" s="112"/>
      <c r="R5" s="112"/>
      <c r="S5" s="113"/>
    </row>
    <row r="6" spans="1:19" s="114" customFormat="1" ht="15.75" customHeight="1" hidden="1" thickBot="1">
      <c r="A6" s="115"/>
      <c r="B6" s="116"/>
      <c r="C6" s="116" t="s">
        <v>105</v>
      </c>
      <c r="D6" s="400"/>
      <c r="E6" s="179"/>
      <c r="F6" s="179"/>
      <c r="G6" s="179"/>
      <c r="H6" s="179"/>
      <c r="I6" s="243"/>
      <c r="J6" s="400"/>
      <c r="K6" s="179"/>
      <c r="L6" s="179"/>
      <c r="M6" s="179"/>
      <c r="N6" s="179"/>
      <c r="O6" s="243"/>
      <c r="P6" s="400"/>
      <c r="Q6" s="179"/>
      <c r="R6" s="179"/>
      <c r="S6" s="243"/>
    </row>
    <row r="7" spans="1:19" s="120" customFormat="1" ht="12" customHeight="1" hidden="1" thickBot="1">
      <c r="A7" s="111" t="s">
        <v>26</v>
      </c>
      <c r="B7" s="117"/>
      <c r="C7" s="434" t="s">
        <v>106</v>
      </c>
      <c r="D7" s="401"/>
      <c r="E7" s="180"/>
      <c r="F7" s="180"/>
      <c r="G7" s="180"/>
      <c r="H7" s="460"/>
      <c r="I7" s="331"/>
      <c r="J7" s="401"/>
      <c r="K7" s="180"/>
      <c r="L7" s="180"/>
      <c r="M7" s="180"/>
      <c r="N7" s="460"/>
      <c r="O7" s="331"/>
      <c r="P7" s="401"/>
      <c r="Q7" s="180"/>
      <c r="R7" s="180"/>
      <c r="S7" s="119"/>
    </row>
    <row r="8" spans="1:19" s="120" customFormat="1" ht="12" customHeight="1" hidden="1" thickBot="1">
      <c r="A8" s="111" t="s">
        <v>9</v>
      </c>
      <c r="B8" s="117"/>
      <c r="C8" s="434" t="s">
        <v>112</v>
      </c>
      <c r="D8" s="401">
        <f aca="true" t="shared" si="0" ref="D8:M8">SUM(D9:D12)</f>
        <v>0</v>
      </c>
      <c r="E8" s="180">
        <f t="shared" si="0"/>
        <v>0</v>
      </c>
      <c r="F8" s="180">
        <f t="shared" si="0"/>
        <v>0</v>
      </c>
      <c r="G8" s="180">
        <f>SUM(G9:G12)</f>
        <v>0</v>
      </c>
      <c r="H8" s="460">
        <f>SUM(H9:H12)</f>
        <v>0</v>
      </c>
      <c r="I8" s="331"/>
      <c r="J8" s="401">
        <f t="shared" si="0"/>
        <v>0</v>
      </c>
      <c r="K8" s="180">
        <f t="shared" si="0"/>
        <v>0</v>
      </c>
      <c r="L8" s="180">
        <f t="shared" si="0"/>
        <v>0</v>
      </c>
      <c r="M8" s="180">
        <f t="shared" si="0"/>
        <v>0</v>
      </c>
      <c r="N8" s="460" t="s">
        <v>234</v>
      </c>
      <c r="O8" s="331"/>
      <c r="P8" s="401"/>
      <c r="Q8" s="180"/>
      <c r="R8" s="180"/>
      <c r="S8" s="119"/>
    </row>
    <row r="9" spans="1:19" s="126" customFormat="1" ht="12" customHeight="1" hidden="1">
      <c r="A9" s="123"/>
      <c r="B9" s="122" t="s">
        <v>113</v>
      </c>
      <c r="C9" s="413" t="s">
        <v>69</v>
      </c>
      <c r="D9" s="403"/>
      <c r="E9" s="181"/>
      <c r="F9" s="181"/>
      <c r="G9" s="181"/>
      <c r="H9" s="461"/>
      <c r="I9" s="422"/>
      <c r="J9" s="403"/>
      <c r="K9" s="181"/>
      <c r="L9" s="181"/>
      <c r="M9" s="181"/>
      <c r="N9" s="461"/>
      <c r="O9" s="422"/>
      <c r="P9" s="403"/>
      <c r="Q9" s="181"/>
      <c r="R9" s="181"/>
      <c r="S9" s="125"/>
    </row>
    <row r="10" spans="1:19" s="126" customFormat="1" ht="12" customHeight="1" hidden="1">
      <c r="A10" s="123"/>
      <c r="B10" s="122" t="s">
        <v>114</v>
      </c>
      <c r="C10" s="414" t="s">
        <v>115</v>
      </c>
      <c r="D10" s="403"/>
      <c r="E10" s="181"/>
      <c r="F10" s="181"/>
      <c r="G10" s="181"/>
      <c r="H10" s="461"/>
      <c r="I10" s="446"/>
      <c r="J10" s="403"/>
      <c r="K10" s="181"/>
      <c r="L10" s="181"/>
      <c r="M10" s="181"/>
      <c r="N10" s="461"/>
      <c r="O10" s="446"/>
      <c r="P10" s="403"/>
      <c r="Q10" s="181"/>
      <c r="R10" s="181"/>
      <c r="S10" s="125"/>
    </row>
    <row r="11" spans="1:19" s="126" customFormat="1" ht="12" customHeight="1" hidden="1">
      <c r="A11" s="123"/>
      <c r="B11" s="122" t="s">
        <v>116</v>
      </c>
      <c r="C11" s="414" t="s">
        <v>70</v>
      </c>
      <c r="D11" s="403"/>
      <c r="E11" s="181"/>
      <c r="F11" s="181"/>
      <c r="G11" s="181"/>
      <c r="H11" s="461"/>
      <c r="I11" s="446"/>
      <c r="J11" s="403"/>
      <c r="K11" s="181"/>
      <c r="L11" s="181"/>
      <c r="M11" s="181"/>
      <c r="N11" s="461"/>
      <c r="O11" s="446"/>
      <c r="P11" s="403"/>
      <c r="Q11" s="181"/>
      <c r="R11" s="181"/>
      <c r="S11" s="125"/>
    </row>
    <row r="12" spans="1:19" s="126" customFormat="1" ht="12" customHeight="1" hidden="1" thickBot="1">
      <c r="A12" s="123"/>
      <c r="B12" s="122" t="s">
        <v>117</v>
      </c>
      <c r="C12" s="414" t="s">
        <v>115</v>
      </c>
      <c r="D12" s="403"/>
      <c r="E12" s="181"/>
      <c r="F12" s="181"/>
      <c r="G12" s="181"/>
      <c r="H12" s="461"/>
      <c r="I12" s="452"/>
      <c r="J12" s="403"/>
      <c r="K12" s="181"/>
      <c r="L12" s="181"/>
      <c r="M12" s="181"/>
      <c r="N12" s="461"/>
      <c r="O12" s="452"/>
      <c r="P12" s="403"/>
      <c r="Q12" s="181"/>
      <c r="R12" s="181"/>
      <c r="S12" s="125"/>
    </row>
    <row r="13" spans="1:19" s="126" customFormat="1" ht="12" customHeight="1" hidden="1" thickBot="1">
      <c r="A13" s="129" t="s">
        <v>10</v>
      </c>
      <c r="B13" s="130"/>
      <c r="C13" s="412" t="s">
        <v>118</v>
      </c>
      <c r="D13" s="401">
        <f aca="true" t="shared" si="1" ref="D13:M13">SUM(D14:D15)</f>
        <v>0</v>
      </c>
      <c r="E13" s="180">
        <f t="shared" si="1"/>
        <v>0</v>
      </c>
      <c r="F13" s="180">
        <f t="shared" si="1"/>
        <v>0</v>
      </c>
      <c r="G13" s="180">
        <f>SUM(G14:G15)</f>
        <v>0</v>
      </c>
      <c r="H13" s="460"/>
      <c r="I13" s="331"/>
      <c r="J13" s="401">
        <f t="shared" si="1"/>
        <v>0</v>
      </c>
      <c r="K13" s="180">
        <f t="shared" si="1"/>
        <v>0</v>
      </c>
      <c r="L13" s="180">
        <f t="shared" si="1"/>
        <v>0</v>
      </c>
      <c r="M13" s="180">
        <f t="shared" si="1"/>
        <v>0</v>
      </c>
      <c r="N13" s="460"/>
      <c r="O13" s="331"/>
      <c r="P13" s="401"/>
      <c r="Q13" s="180"/>
      <c r="R13" s="180"/>
      <c r="S13" s="119"/>
    </row>
    <row r="14" spans="1:19" s="120" customFormat="1" ht="12" customHeight="1" hidden="1">
      <c r="A14" s="131"/>
      <c r="B14" s="132" t="s">
        <v>119</v>
      </c>
      <c r="C14" s="435" t="s">
        <v>120</v>
      </c>
      <c r="D14" s="404"/>
      <c r="E14" s="182"/>
      <c r="F14" s="182"/>
      <c r="G14" s="182"/>
      <c r="H14" s="462"/>
      <c r="I14" s="422"/>
      <c r="J14" s="404"/>
      <c r="K14" s="182"/>
      <c r="L14" s="182"/>
      <c r="M14" s="182"/>
      <c r="N14" s="462"/>
      <c r="O14" s="422"/>
      <c r="P14" s="404"/>
      <c r="Q14" s="182"/>
      <c r="R14" s="182"/>
      <c r="S14" s="134"/>
    </row>
    <row r="15" spans="1:19" s="120" customFormat="1" ht="12" customHeight="1" hidden="1" thickBot="1">
      <c r="A15" s="135"/>
      <c r="B15" s="136" t="s">
        <v>121</v>
      </c>
      <c r="C15" s="436" t="s">
        <v>122</v>
      </c>
      <c r="D15" s="405"/>
      <c r="E15" s="183"/>
      <c r="F15" s="183"/>
      <c r="G15" s="183"/>
      <c r="H15" s="463"/>
      <c r="I15" s="452"/>
      <c r="J15" s="405"/>
      <c r="K15" s="183"/>
      <c r="L15" s="183"/>
      <c r="M15" s="183"/>
      <c r="N15" s="463"/>
      <c r="O15" s="452"/>
      <c r="P15" s="405"/>
      <c r="Q15" s="183"/>
      <c r="R15" s="183"/>
      <c r="S15" s="138"/>
    </row>
    <row r="16" spans="1:19" s="120" customFormat="1" ht="12" customHeight="1" hidden="1" thickBot="1">
      <c r="A16" s="129" t="s">
        <v>11</v>
      </c>
      <c r="B16" s="117"/>
      <c r="C16" s="412" t="s">
        <v>123</v>
      </c>
      <c r="D16" s="406"/>
      <c r="E16" s="184"/>
      <c r="F16" s="184"/>
      <c r="G16" s="184"/>
      <c r="H16" s="464"/>
      <c r="I16" s="331"/>
      <c r="J16" s="406"/>
      <c r="K16" s="184"/>
      <c r="L16" s="184"/>
      <c r="M16" s="184"/>
      <c r="N16" s="464" t="s">
        <v>234</v>
      </c>
      <c r="O16" s="331"/>
      <c r="P16" s="406"/>
      <c r="Q16" s="184"/>
      <c r="R16" s="184"/>
      <c r="S16" s="139"/>
    </row>
    <row r="17" spans="1:19" s="120" customFormat="1" ht="12" customHeight="1" hidden="1" thickBot="1">
      <c r="A17" s="111" t="s">
        <v>12</v>
      </c>
      <c r="B17" s="140"/>
      <c r="C17" s="412" t="s">
        <v>124</v>
      </c>
      <c r="D17" s="401">
        <f aca="true" t="shared" si="2" ref="D17:M17">D7+D8+D13+D16</f>
        <v>0</v>
      </c>
      <c r="E17" s="180">
        <f t="shared" si="2"/>
        <v>0</v>
      </c>
      <c r="F17" s="180">
        <f t="shared" si="2"/>
        <v>0</v>
      </c>
      <c r="G17" s="180">
        <f t="shared" si="2"/>
        <v>0</v>
      </c>
      <c r="H17" s="460" t="s">
        <v>234</v>
      </c>
      <c r="I17" s="331"/>
      <c r="J17" s="401">
        <f t="shared" si="2"/>
        <v>0</v>
      </c>
      <c r="K17" s="180">
        <f t="shared" si="2"/>
        <v>0</v>
      </c>
      <c r="L17" s="180">
        <f t="shared" si="2"/>
        <v>0</v>
      </c>
      <c r="M17" s="180">
        <f t="shared" si="2"/>
        <v>0</v>
      </c>
      <c r="N17" s="460" t="s">
        <v>234</v>
      </c>
      <c r="O17" s="331"/>
      <c r="P17" s="401"/>
      <c r="Q17" s="180"/>
      <c r="R17" s="180"/>
      <c r="S17" s="119"/>
    </row>
    <row r="18" spans="1:19" s="126" customFormat="1" ht="12" customHeight="1" hidden="1" thickBot="1">
      <c r="A18" s="141" t="s">
        <v>13</v>
      </c>
      <c r="B18" s="142"/>
      <c r="C18" s="437" t="s">
        <v>125</v>
      </c>
      <c r="D18" s="407">
        <f aca="true" t="shared" si="3" ref="D18:M18">SUM(D19:D20)</f>
        <v>0</v>
      </c>
      <c r="E18" s="185">
        <f t="shared" si="3"/>
        <v>0</v>
      </c>
      <c r="F18" s="185">
        <f t="shared" si="3"/>
        <v>0</v>
      </c>
      <c r="G18" s="185">
        <f>SUM(G19:G20)</f>
        <v>0</v>
      </c>
      <c r="H18" s="465" t="s">
        <v>234</v>
      </c>
      <c r="I18" s="331"/>
      <c r="J18" s="407">
        <f t="shared" si="3"/>
        <v>0</v>
      </c>
      <c r="K18" s="185">
        <f t="shared" si="3"/>
        <v>0</v>
      </c>
      <c r="L18" s="185">
        <f t="shared" si="3"/>
        <v>0</v>
      </c>
      <c r="M18" s="185">
        <f t="shared" si="3"/>
        <v>0</v>
      </c>
      <c r="N18" s="465" t="s">
        <v>234</v>
      </c>
      <c r="O18" s="331"/>
      <c r="P18" s="401"/>
      <c r="Q18" s="180"/>
      <c r="R18" s="180"/>
      <c r="S18" s="119"/>
    </row>
    <row r="19" spans="1:19" s="126" customFormat="1" ht="15" customHeight="1" hidden="1">
      <c r="A19" s="121"/>
      <c r="B19" s="144" t="s">
        <v>126</v>
      </c>
      <c r="C19" s="435" t="s">
        <v>127</v>
      </c>
      <c r="D19" s="404"/>
      <c r="E19" s="182"/>
      <c r="F19" s="182"/>
      <c r="G19" s="182"/>
      <c r="H19" s="462"/>
      <c r="I19" s="422"/>
      <c r="J19" s="404"/>
      <c r="K19" s="182"/>
      <c r="L19" s="182"/>
      <c r="M19" s="182"/>
      <c r="N19" s="462" t="s">
        <v>234</v>
      </c>
      <c r="O19" s="422"/>
      <c r="P19" s="410"/>
      <c r="Q19" s="411"/>
      <c r="R19" s="411"/>
      <c r="S19" s="240"/>
    </row>
    <row r="20" spans="1:19" s="126" customFormat="1" ht="15" customHeight="1" hidden="1" thickBot="1">
      <c r="A20" s="145"/>
      <c r="B20" s="146" t="s">
        <v>128</v>
      </c>
      <c r="C20" s="438" t="s">
        <v>129</v>
      </c>
      <c r="D20" s="408"/>
      <c r="E20" s="186"/>
      <c r="F20" s="186"/>
      <c r="G20" s="186"/>
      <c r="H20" s="466"/>
      <c r="I20" s="452"/>
      <c r="J20" s="408"/>
      <c r="K20" s="186"/>
      <c r="L20" s="186"/>
      <c r="M20" s="186"/>
      <c r="N20" s="466"/>
      <c r="O20" s="452"/>
      <c r="P20" s="408"/>
      <c r="Q20" s="186"/>
      <c r="R20" s="186"/>
      <c r="S20" s="148"/>
    </row>
    <row r="21" spans="1:19" ht="13.5" hidden="1" thickBot="1">
      <c r="A21" s="149" t="s">
        <v>54</v>
      </c>
      <c r="B21" s="268"/>
      <c r="C21" s="416" t="s">
        <v>130</v>
      </c>
      <c r="D21" s="406"/>
      <c r="E21" s="184"/>
      <c r="F21" s="184"/>
      <c r="G21" s="184"/>
      <c r="H21" s="464"/>
      <c r="I21" s="331"/>
      <c r="J21" s="406"/>
      <c r="K21" s="184"/>
      <c r="L21" s="184"/>
      <c r="M21" s="184"/>
      <c r="N21" s="464"/>
      <c r="O21" s="331"/>
      <c r="P21" s="406"/>
      <c r="Q21" s="184"/>
      <c r="R21" s="184"/>
      <c r="S21" s="139"/>
    </row>
    <row r="22" spans="1:19" s="114" customFormat="1" ht="16.5" customHeight="1" hidden="1" thickBot="1">
      <c r="A22" s="149" t="s">
        <v>55</v>
      </c>
      <c r="B22" s="269"/>
      <c r="C22" s="439" t="s">
        <v>131</v>
      </c>
      <c r="D22" s="409">
        <f aca="true" t="shared" si="4" ref="D22:M22">D17+D21+D18</f>
        <v>0</v>
      </c>
      <c r="E22" s="187">
        <f t="shared" si="4"/>
        <v>0</v>
      </c>
      <c r="F22" s="187">
        <f t="shared" si="4"/>
        <v>0</v>
      </c>
      <c r="G22" s="187">
        <f t="shared" si="4"/>
        <v>0</v>
      </c>
      <c r="H22" s="467" t="s">
        <v>234</v>
      </c>
      <c r="I22" s="331"/>
      <c r="J22" s="409">
        <f t="shared" si="4"/>
        <v>0</v>
      </c>
      <c r="K22" s="187">
        <f t="shared" si="4"/>
        <v>0</v>
      </c>
      <c r="L22" s="187">
        <f t="shared" si="4"/>
        <v>0</v>
      </c>
      <c r="M22" s="187">
        <f t="shared" si="4"/>
        <v>0</v>
      </c>
      <c r="N22" s="467" t="s">
        <v>234</v>
      </c>
      <c r="O22" s="331"/>
      <c r="P22" s="409"/>
      <c r="Q22" s="187"/>
      <c r="R22" s="187"/>
      <c r="S22" s="172"/>
    </row>
    <row r="23" spans="1:19" s="158" customFormat="1" ht="12" customHeight="1" hidden="1">
      <c r="A23" s="155"/>
      <c r="B23" s="155"/>
      <c r="C23" s="156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</row>
    <row r="24" spans="1:18" ht="12" customHeight="1" hidden="1" thickBot="1">
      <c r="A24" s="159"/>
      <c r="B24" s="160"/>
      <c r="C24" s="160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</row>
    <row r="25" spans="1:19" ht="12" customHeight="1" hidden="1" thickBot="1">
      <c r="A25" s="162"/>
      <c r="B25" s="163"/>
      <c r="C25" s="164" t="s">
        <v>132</v>
      </c>
      <c r="D25" s="178"/>
      <c r="E25" s="178"/>
      <c r="F25" s="178"/>
      <c r="G25" s="178"/>
      <c r="H25" s="178"/>
      <c r="I25" s="178"/>
      <c r="J25" s="187"/>
      <c r="K25" s="187"/>
      <c r="L25" s="178"/>
      <c r="M25" s="178"/>
      <c r="N25" s="178"/>
      <c r="O25" s="178"/>
      <c r="P25" s="154"/>
      <c r="Q25" s="154"/>
      <c r="R25" s="154"/>
      <c r="S25" s="154"/>
    </row>
    <row r="26" spans="1:19" ht="12" customHeight="1" hidden="1" thickBot="1">
      <c r="A26" s="129" t="s">
        <v>26</v>
      </c>
      <c r="B26" s="165"/>
      <c r="C26" s="412" t="s">
        <v>133</v>
      </c>
      <c r="D26" s="401">
        <f aca="true" t="shared" si="5" ref="D26:M26">SUM(D27:D31)</f>
        <v>0</v>
      </c>
      <c r="E26" s="180">
        <f t="shared" si="5"/>
        <v>0</v>
      </c>
      <c r="F26" s="180">
        <f t="shared" si="5"/>
        <v>0</v>
      </c>
      <c r="G26" s="180">
        <f>SUM(G27:G31)</f>
        <v>0</v>
      </c>
      <c r="H26" s="468" t="s">
        <v>234</v>
      </c>
      <c r="I26" s="397"/>
      <c r="J26" s="401">
        <f t="shared" si="5"/>
        <v>0</v>
      </c>
      <c r="K26" s="180">
        <f t="shared" si="5"/>
        <v>0</v>
      </c>
      <c r="L26" s="180">
        <f t="shared" si="5"/>
        <v>0</v>
      </c>
      <c r="M26" s="180">
        <f t="shared" si="5"/>
        <v>0</v>
      </c>
      <c r="N26" s="468" t="s">
        <v>234</v>
      </c>
      <c r="O26" s="397"/>
      <c r="P26" s="453"/>
      <c r="Q26" s="395"/>
      <c r="R26" s="119"/>
      <c r="S26" s="119"/>
    </row>
    <row r="27" spans="1:19" ht="12" customHeight="1" hidden="1">
      <c r="A27" s="166"/>
      <c r="B27" s="167" t="s">
        <v>107</v>
      </c>
      <c r="C27" s="413" t="s">
        <v>134</v>
      </c>
      <c r="D27" s="419"/>
      <c r="E27" s="188"/>
      <c r="F27" s="188"/>
      <c r="G27" s="188"/>
      <c r="H27" s="469"/>
      <c r="I27" s="398"/>
      <c r="J27" s="419"/>
      <c r="K27" s="188"/>
      <c r="L27" s="188"/>
      <c r="M27" s="188"/>
      <c r="N27" s="469"/>
      <c r="O27" s="398"/>
      <c r="P27" s="454"/>
      <c r="Q27" s="426"/>
      <c r="R27" s="125"/>
      <c r="S27" s="125"/>
    </row>
    <row r="28" spans="1:19" ht="12" customHeight="1" hidden="1">
      <c r="A28" s="168"/>
      <c r="B28" s="169" t="s">
        <v>108</v>
      </c>
      <c r="C28" s="414" t="s">
        <v>49</v>
      </c>
      <c r="D28" s="420"/>
      <c r="E28" s="189"/>
      <c r="F28" s="189"/>
      <c r="G28" s="189"/>
      <c r="H28" s="470"/>
      <c r="I28" s="442"/>
      <c r="J28" s="420"/>
      <c r="K28" s="189"/>
      <c r="L28" s="189"/>
      <c r="M28" s="189"/>
      <c r="N28" s="470"/>
      <c r="O28" s="442"/>
      <c r="P28" s="454"/>
      <c r="Q28" s="426"/>
      <c r="R28" s="125"/>
      <c r="S28" s="125"/>
    </row>
    <row r="29" spans="1:19" ht="12" customHeight="1" hidden="1">
      <c r="A29" s="168"/>
      <c r="B29" s="169" t="s">
        <v>109</v>
      </c>
      <c r="C29" s="414" t="s">
        <v>135</v>
      </c>
      <c r="D29" s="420"/>
      <c r="E29" s="189"/>
      <c r="F29" s="189"/>
      <c r="G29" s="189"/>
      <c r="H29" s="470"/>
      <c r="I29" s="442"/>
      <c r="J29" s="420"/>
      <c r="K29" s="189"/>
      <c r="L29" s="189"/>
      <c r="M29" s="189"/>
      <c r="N29" s="470"/>
      <c r="O29" s="442"/>
      <c r="P29" s="454"/>
      <c r="Q29" s="426"/>
      <c r="R29" s="125"/>
      <c r="S29" s="125"/>
    </row>
    <row r="30" spans="1:19" s="158" customFormat="1" ht="12" customHeight="1" hidden="1">
      <c r="A30" s="168"/>
      <c r="B30" s="169" t="s">
        <v>110</v>
      </c>
      <c r="C30" s="414" t="s">
        <v>78</v>
      </c>
      <c r="D30" s="420"/>
      <c r="E30" s="189"/>
      <c r="F30" s="189"/>
      <c r="G30" s="189"/>
      <c r="H30" s="470"/>
      <c r="I30" s="443"/>
      <c r="J30" s="420"/>
      <c r="K30" s="189"/>
      <c r="L30" s="189"/>
      <c r="M30" s="189"/>
      <c r="N30" s="470"/>
      <c r="O30" s="443"/>
      <c r="P30" s="454"/>
      <c r="Q30" s="426"/>
      <c r="R30" s="125"/>
      <c r="S30" s="125"/>
    </row>
    <row r="31" spans="1:19" ht="12" customHeight="1" hidden="1" thickBot="1">
      <c r="A31" s="168"/>
      <c r="B31" s="169" t="s">
        <v>48</v>
      </c>
      <c r="C31" s="414" t="s">
        <v>80</v>
      </c>
      <c r="D31" s="420"/>
      <c r="E31" s="189"/>
      <c r="F31" s="189"/>
      <c r="G31" s="189"/>
      <c r="H31" s="470"/>
      <c r="I31" s="444"/>
      <c r="J31" s="420"/>
      <c r="K31" s="189"/>
      <c r="L31" s="189"/>
      <c r="M31" s="189"/>
      <c r="N31" s="470"/>
      <c r="O31" s="444"/>
      <c r="P31" s="455"/>
      <c r="Q31" s="427"/>
      <c r="R31" s="170"/>
      <c r="S31" s="170"/>
    </row>
    <row r="32" spans="1:19" ht="12" customHeight="1" hidden="1" thickBot="1">
      <c r="A32" s="129" t="s">
        <v>27</v>
      </c>
      <c r="B32" s="165"/>
      <c r="C32" s="412" t="s">
        <v>136</v>
      </c>
      <c r="D32" s="401">
        <f>SUM(D33:D36)</f>
        <v>0</v>
      </c>
      <c r="E32" s="180">
        <f>SUM(E33:E36)</f>
        <v>0</v>
      </c>
      <c r="F32" s="180">
        <f>SUM(F33:F36)</f>
        <v>0</v>
      </c>
      <c r="G32" s="180">
        <f>SUM(G33:G36)</f>
        <v>0</v>
      </c>
      <c r="H32" s="468"/>
      <c r="I32" s="399"/>
      <c r="J32" s="401"/>
      <c r="K32" s="180"/>
      <c r="L32" s="180">
        <f>SUM(L33:L36)</f>
        <v>0</v>
      </c>
      <c r="M32" s="180">
        <f>SUM(M33:M36)</f>
        <v>0</v>
      </c>
      <c r="N32" s="468"/>
      <c r="O32" s="399"/>
      <c r="P32" s="453"/>
      <c r="Q32" s="395"/>
      <c r="R32" s="119"/>
      <c r="S32" s="119"/>
    </row>
    <row r="33" spans="1:19" ht="12" customHeight="1" hidden="1">
      <c r="A33" s="166"/>
      <c r="B33" s="167" t="s">
        <v>137</v>
      </c>
      <c r="C33" s="413" t="s">
        <v>90</v>
      </c>
      <c r="D33" s="419"/>
      <c r="E33" s="188"/>
      <c r="F33" s="188"/>
      <c r="G33" s="188"/>
      <c r="H33" s="469"/>
      <c r="I33" s="443"/>
      <c r="J33" s="419"/>
      <c r="K33" s="188"/>
      <c r="L33" s="188"/>
      <c r="M33" s="188"/>
      <c r="N33" s="469"/>
      <c r="O33" s="443"/>
      <c r="P33" s="454"/>
      <c r="Q33" s="426"/>
      <c r="R33" s="125"/>
      <c r="S33" s="125"/>
    </row>
    <row r="34" spans="1:19" ht="12" customHeight="1" hidden="1">
      <c r="A34" s="168"/>
      <c r="B34" s="169" t="s">
        <v>138</v>
      </c>
      <c r="C34" s="414" t="s">
        <v>91</v>
      </c>
      <c r="D34" s="420">
        <v>0</v>
      </c>
      <c r="E34" s="189">
        <v>0</v>
      </c>
      <c r="F34" s="189">
        <v>0</v>
      </c>
      <c r="G34" s="189">
        <v>0</v>
      </c>
      <c r="H34" s="470"/>
      <c r="I34" s="444"/>
      <c r="J34" s="420"/>
      <c r="K34" s="189"/>
      <c r="L34" s="189">
        <v>0</v>
      </c>
      <c r="M34" s="189">
        <v>0</v>
      </c>
      <c r="N34" s="470"/>
      <c r="O34" s="444"/>
      <c r="P34" s="455"/>
      <c r="Q34" s="427"/>
      <c r="R34" s="170"/>
      <c r="S34" s="170"/>
    </row>
    <row r="35" spans="1:19" ht="15" customHeight="1" hidden="1">
      <c r="A35" s="168"/>
      <c r="B35" s="169" t="s">
        <v>139</v>
      </c>
      <c r="C35" s="414" t="s">
        <v>140</v>
      </c>
      <c r="D35" s="420"/>
      <c r="E35" s="189"/>
      <c r="F35" s="189"/>
      <c r="G35" s="189"/>
      <c r="H35" s="470"/>
      <c r="I35" s="444"/>
      <c r="J35" s="420"/>
      <c r="K35" s="189"/>
      <c r="L35" s="189"/>
      <c r="M35" s="189"/>
      <c r="N35" s="470"/>
      <c r="O35" s="444"/>
      <c r="P35" s="455"/>
      <c r="Q35" s="427"/>
      <c r="R35" s="170"/>
      <c r="S35" s="170"/>
    </row>
    <row r="36" spans="1:19" ht="13.5" hidden="1" thickBot="1">
      <c r="A36" s="168"/>
      <c r="B36" s="169" t="s">
        <v>141</v>
      </c>
      <c r="C36" s="414" t="s">
        <v>142</v>
      </c>
      <c r="D36" s="420"/>
      <c r="E36" s="189"/>
      <c r="F36" s="189"/>
      <c r="G36" s="189"/>
      <c r="H36" s="470"/>
      <c r="I36" s="444"/>
      <c r="J36" s="420"/>
      <c r="K36" s="189"/>
      <c r="L36" s="189"/>
      <c r="M36" s="189"/>
      <c r="N36" s="470"/>
      <c r="O36" s="444"/>
      <c r="P36" s="455"/>
      <c r="Q36" s="427"/>
      <c r="R36" s="170"/>
      <c r="S36" s="170"/>
    </row>
    <row r="37" spans="1:19" ht="15" customHeight="1" hidden="1" thickBot="1">
      <c r="A37" s="129" t="s">
        <v>9</v>
      </c>
      <c r="B37" s="165"/>
      <c r="C37" s="415" t="s">
        <v>222</v>
      </c>
      <c r="D37" s="406"/>
      <c r="E37" s="184"/>
      <c r="F37" s="184"/>
      <c r="G37" s="184"/>
      <c r="H37" s="471" t="s">
        <v>234</v>
      </c>
      <c r="I37" s="397"/>
      <c r="J37" s="406"/>
      <c r="K37" s="184"/>
      <c r="L37" s="184"/>
      <c r="M37" s="184"/>
      <c r="N37" s="471" t="s">
        <v>234</v>
      </c>
      <c r="O37" s="397"/>
      <c r="P37" s="456"/>
      <c r="Q37" s="396"/>
      <c r="R37" s="139"/>
      <c r="S37" s="139"/>
    </row>
    <row r="38" spans="1:19" ht="14.25" customHeight="1" hidden="1" thickBot="1">
      <c r="A38" s="149" t="s">
        <v>10</v>
      </c>
      <c r="B38" s="268"/>
      <c r="C38" s="416" t="s">
        <v>144</v>
      </c>
      <c r="D38" s="406"/>
      <c r="E38" s="184"/>
      <c r="F38" s="184"/>
      <c r="G38" s="184"/>
      <c r="H38" s="471"/>
      <c r="I38" s="397"/>
      <c r="J38" s="406"/>
      <c r="K38" s="184"/>
      <c r="L38" s="184"/>
      <c r="M38" s="184"/>
      <c r="N38" s="471"/>
      <c r="O38" s="397"/>
      <c r="P38" s="456"/>
      <c r="Q38" s="396"/>
      <c r="R38" s="139"/>
      <c r="S38" s="139"/>
    </row>
    <row r="39" spans="1:19" ht="13.5" hidden="1" thickBot="1">
      <c r="A39" s="129" t="s">
        <v>11</v>
      </c>
      <c r="B39" s="171"/>
      <c r="C39" s="417" t="s">
        <v>145</v>
      </c>
      <c r="D39" s="409">
        <f aca="true" t="shared" si="6" ref="D39:M39">D26+D32+D37+D38</f>
        <v>0</v>
      </c>
      <c r="E39" s="187">
        <f t="shared" si="6"/>
        <v>0</v>
      </c>
      <c r="F39" s="187">
        <f t="shared" si="6"/>
        <v>0</v>
      </c>
      <c r="G39" s="187">
        <f t="shared" si="6"/>
        <v>0</v>
      </c>
      <c r="H39" s="472" t="s">
        <v>234</v>
      </c>
      <c r="I39" s="397"/>
      <c r="J39" s="409">
        <f t="shared" si="6"/>
        <v>0</v>
      </c>
      <c r="K39" s="187">
        <f t="shared" si="6"/>
        <v>0</v>
      </c>
      <c r="L39" s="187">
        <f t="shared" si="6"/>
        <v>0</v>
      </c>
      <c r="M39" s="187">
        <f t="shared" si="6"/>
        <v>0</v>
      </c>
      <c r="N39" s="472" t="s">
        <v>234</v>
      </c>
      <c r="O39" s="397"/>
      <c r="P39" s="457"/>
      <c r="Q39" s="154"/>
      <c r="R39" s="172"/>
      <c r="S39" s="172"/>
    </row>
    <row r="40" spans="1:19" ht="13.5" hidden="1" thickBot="1">
      <c r="A40" s="270"/>
      <c r="B40" s="271"/>
      <c r="C40" s="271"/>
      <c r="D40" s="448"/>
      <c r="E40" s="449"/>
      <c r="F40" s="449"/>
      <c r="G40" s="449"/>
      <c r="H40" s="473"/>
      <c r="I40" s="272"/>
      <c r="J40" s="448"/>
      <c r="K40" s="449"/>
      <c r="L40" s="449"/>
      <c r="M40" s="449"/>
      <c r="N40" s="473"/>
      <c r="O40" s="272"/>
      <c r="P40" s="458"/>
      <c r="Q40" s="272"/>
      <c r="R40" s="272"/>
      <c r="S40" s="272"/>
    </row>
    <row r="41" spans="1:19" ht="13.5" hidden="1" thickBot="1">
      <c r="A41" s="175" t="s">
        <v>146</v>
      </c>
      <c r="B41" s="176"/>
      <c r="C41" s="418"/>
      <c r="D41" s="432"/>
      <c r="E41" s="192"/>
      <c r="F41" s="192"/>
      <c r="G41" s="192"/>
      <c r="H41" s="474"/>
      <c r="I41" s="397"/>
      <c r="J41" s="432"/>
      <c r="K41" s="192"/>
      <c r="L41" s="192"/>
      <c r="M41" s="192"/>
      <c r="N41" s="474"/>
      <c r="O41" s="397"/>
      <c r="P41" s="459"/>
      <c r="Q41" s="191"/>
      <c r="R41" s="191"/>
      <c r="S41" s="191"/>
    </row>
    <row r="42" spans="1:19" ht="13.5" hidden="1" thickBot="1">
      <c r="A42" s="175" t="s">
        <v>147</v>
      </c>
      <c r="B42" s="176"/>
      <c r="C42" s="418"/>
      <c r="D42" s="432"/>
      <c r="E42" s="192"/>
      <c r="F42" s="192"/>
      <c r="G42" s="192"/>
      <c r="H42" s="474"/>
      <c r="I42" s="397"/>
      <c r="J42" s="432"/>
      <c r="K42" s="192"/>
      <c r="L42" s="192"/>
      <c r="M42" s="192"/>
      <c r="N42" s="474"/>
      <c r="O42" s="397"/>
      <c r="P42" s="459"/>
      <c r="Q42" s="191"/>
      <c r="R42" s="191"/>
      <c r="S42" s="191"/>
    </row>
    <row r="43" ht="12.75" hidden="1"/>
    <row r="44" spans="1:9" ht="12.75" hidden="1">
      <c r="A44" s="1286" t="s">
        <v>148</v>
      </c>
      <c r="B44" s="1286"/>
      <c r="C44" s="1286"/>
      <c r="D44" s="1286"/>
      <c r="E44" s="256"/>
      <c r="F44" s="256"/>
      <c r="G44" s="256"/>
      <c r="H44" s="256"/>
      <c r="I44" s="256"/>
    </row>
    <row r="45" spans="1:9" ht="12.75" hidden="1">
      <c r="A45" s="1286"/>
      <c r="B45" s="1286"/>
      <c r="C45" s="1286"/>
      <c r="E45" s="274"/>
      <c r="F45" s="274"/>
      <c r="G45" s="274"/>
      <c r="H45" s="274"/>
      <c r="I45" s="274"/>
    </row>
    <row r="46" spans="4:9" ht="12.75" hidden="1">
      <c r="D46" s="274">
        <v>0</v>
      </c>
      <c r="E46" s="274"/>
      <c r="F46" s="274"/>
      <c r="G46" s="274"/>
      <c r="H46" s="274"/>
      <c r="I46" s="274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4"/>
  <sheetViews>
    <sheetView zoomScale="70" zoomScaleNormal="70" workbookViewId="0" topLeftCell="F17">
      <selection activeCell="F29" sqref="F29"/>
    </sheetView>
  </sheetViews>
  <sheetFormatPr defaultColWidth="9.140625" defaultRowHeight="12.75"/>
  <cols>
    <col min="1" max="1" width="7.7109375" style="79" customWidth="1"/>
    <col min="2" max="2" width="3.8515625" style="86" customWidth="1"/>
    <col min="3" max="3" width="5.28125" style="86" customWidth="1"/>
    <col min="4" max="4" width="66.57421875" style="87" customWidth="1"/>
    <col min="5" max="5" width="27.28125" style="1" customWidth="1"/>
    <col min="6" max="6" width="30.8515625" style="1" customWidth="1"/>
    <col min="7" max="7" width="26.00390625" style="1" hidden="1" customWidth="1"/>
    <col min="8" max="8" width="28.7109375" style="1" hidden="1" customWidth="1"/>
    <col min="9" max="10" width="20.421875" style="1" hidden="1" customWidth="1"/>
    <col min="11" max="11" width="20.421875" style="42" customWidth="1"/>
    <col min="12" max="12" width="21.28125" style="42" customWidth="1"/>
    <col min="13" max="13" width="23.8515625" style="42" hidden="1" customWidth="1"/>
    <col min="14" max="17" width="22.8515625" style="42" hidden="1" customWidth="1"/>
    <col min="18" max="19" width="22.8515625" style="42" customWidth="1"/>
    <col min="20" max="23" width="22.8515625" style="42" hidden="1" customWidth="1"/>
    <col min="24" max="24" width="22.8515625" style="42" customWidth="1"/>
    <col min="25" max="25" width="23.57421875" style="1" customWidth="1"/>
    <col min="26" max="26" width="28.00390625" style="1" hidden="1" customWidth="1"/>
    <col min="27" max="31" width="22.8515625" style="1" hidden="1" customWidth="1"/>
    <col min="32" max="32" width="22.8515625" style="1" customWidth="1"/>
    <col min="33" max="16384" width="9.140625" style="1" customWidth="1"/>
  </cols>
  <sheetData>
    <row r="1" spans="1:24" ht="24.75" customHeight="1">
      <c r="A1" s="1248" t="s">
        <v>7</v>
      </c>
      <c r="B1" s="1248"/>
      <c r="C1" s="1248"/>
      <c r="D1" s="1248"/>
      <c r="E1" s="1248"/>
      <c r="F1" s="1248"/>
      <c r="G1" s="1248"/>
      <c r="H1" s="1248"/>
      <c r="I1" s="1248"/>
      <c r="J1" s="1248"/>
      <c r="K1" s="1248"/>
      <c r="L1" s="1248"/>
      <c r="M1" s="1248"/>
      <c r="N1" s="1248"/>
      <c r="O1" s="1248"/>
      <c r="P1" s="1248"/>
      <c r="Q1" s="1248"/>
      <c r="R1" s="1248"/>
      <c r="S1" s="1248"/>
      <c r="T1" s="1248"/>
      <c r="U1" s="1248"/>
      <c r="V1" s="1248"/>
      <c r="W1" s="1248"/>
      <c r="X1" s="1248"/>
    </row>
    <row r="2" spans="1:24" ht="14.25" customHeight="1" thickBot="1">
      <c r="A2" s="791" t="s">
        <v>192</v>
      </c>
      <c r="B2" s="791"/>
      <c r="C2" s="78"/>
      <c r="D2" s="97"/>
      <c r="X2" s="94" t="s">
        <v>429</v>
      </c>
    </row>
    <row r="3" spans="1:30" s="2" customFormat="1" ht="48.75" customHeight="1" thickBot="1">
      <c r="A3" s="1249" t="s">
        <v>3</v>
      </c>
      <c r="B3" s="1212"/>
      <c r="C3" s="1212"/>
      <c r="D3" s="1212"/>
      <c r="E3" s="381" t="s">
        <v>4</v>
      </c>
      <c r="F3" s="339"/>
      <c r="G3" s="339"/>
      <c r="H3" s="339"/>
      <c r="I3" s="339"/>
      <c r="J3" s="340"/>
      <c r="K3" s="381" t="s">
        <v>58</v>
      </c>
      <c r="L3" s="339"/>
      <c r="M3" s="339"/>
      <c r="N3" s="339"/>
      <c r="O3" s="339"/>
      <c r="P3" s="786"/>
      <c r="Q3" s="340"/>
      <c r="R3" s="381" t="s">
        <v>59</v>
      </c>
      <c r="S3" s="339"/>
      <c r="T3" s="339"/>
      <c r="U3" s="339"/>
      <c r="V3" s="339"/>
      <c r="W3" s="340"/>
      <c r="X3" s="1251" t="s">
        <v>63</v>
      </c>
      <c r="Y3" s="1252"/>
      <c r="Z3" s="1252"/>
      <c r="AA3" s="1252"/>
      <c r="AB3" s="1252"/>
      <c r="AC3" s="1252"/>
      <c r="AD3" s="1253"/>
    </row>
    <row r="4" spans="1:31" s="2" customFormat="1" ht="16.5" thickBot="1">
      <c r="A4" s="255"/>
      <c r="B4" s="253"/>
      <c r="C4" s="253"/>
      <c r="D4" s="253"/>
      <c r="E4" s="304" t="s">
        <v>62</v>
      </c>
      <c r="F4" s="305" t="s">
        <v>215</v>
      </c>
      <c r="G4" s="305" t="s">
        <v>218</v>
      </c>
      <c r="H4" s="305" t="s">
        <v>220</v>
      </c>
      <c r="I4" s="305" t="s">
        <v>232</v>
      </c>
      <c r="J4" s="306" t="s">
        <v>237</v>
      </c>
      <c r="K4" s="304" t="s">
        <v>62</v>
      </c>
      <c r="L4" s="305" t="s">
        <v>215</v>
      </c>
      <c r="M4" s="305" t="s">
        <v>218</v>
      </c>
      <c r="N4" s="305" t="s">
        <v>220</v>
      </c>
      <c r="O4" s="305" t="s">
        <v>232</v>
      </c>
      <c r="P4" s="305" t="s">
        <v>237</v>
      </c>
      <c r="Q4" s="306" t="s">
        <v>224</v>
      </c>
      <c r="R4" s="304" t="s">
        <v>62</v>
      </c>
      <c r="S4" s="305" t="s">
        <v>215</v>
      </c>
      <c r="T4" s="305" t="s">
        <v>218</v>
      </c>
      <c r="U4" s="305" t="s">
        <v>220</v>
      </c>
      <c r="V4" s="305" t="s">
        <v>232</v>
      </c>
      <c r="W4" s="306" t="s">
        <v>237</v>
      </c>
      <c r="X4" s="304" t="s">
        <v>62</v>
      </c>
      <c r="Y4" s="305" t="s">
        <v>215</v>
      </c>
      <c r="Z4" s="305" t="s">
        <v>218</v>
      </c>
      <c r="AA4" s="305" t="s">
        <v>220</v>
      </c>
      <c r="AB4" s="305" t="s">
        <v>232</v>
      </c>
      <c r="AC4" s="305" t="s">
        <v>237</v>
      </c>
      <c r="AD4" s="306" t="s">
        <v>237</v>
      </c>
      <c r="AE4" s="778"/>
    </row>
    <row r="5" spans="1:30" s="41" customFormat="1" ht="33" customHeight="1" thickBot="1">
      <c r="A5" s="71" t="s">
        <v>26</v>
      </c>
      <c r="B5" s="1250" t="s">
        <v>75</v>
      </c>
      <c r="C5" s="1250"/>
      <c r="D5" s="1250"/>
      <c r="E5" s="307">
        <f aca="true" t="shared" si="0" ref="E5:P5">SUM(E6:E10)</f>
        <v>560825860</v>
      </c>
      <c r="F5" s="307">
        <f t="shared" si="0"/>
        <v>569229818</v>
      </c>
      <c r="G5" s="307">
        <f t="shared" si="0"/>
        <v>0</v>
      </c>
      <c r="H5" s="307">
        <f>SUM(H6:H10)</f>
        <v>0</v>
      </c>
      <c r="I5" s="307">
        <f>SUM(I6:I10)</f>
        <v>0</v>
      </c>
      <c r="J5" s="307">
        <f>SUM(J6:J10)</f>
        <v>0</v>
      </c>
      <c r="K5" s="307">
        <f t="shared" si="0"/>
        <v>533576605</v>
      </c>
      <c r="L5" s="307">
        <f>SUM(L6:L10)</f>
        <v>534370563</v>
      </c>
      <c r="M5" s="249">
        <f t="shared" si="0"/>
        <v>0</v>
      </c>
      <c r="N5" s="249">
        <f t="shared" si="0"/>
        <v>0</v>
      </c>
      <c r="O5" s="249">
        <f t="shared" si="0"/>
        <v>-3212866</v>
      </c>
      <c r="P5" s="249">
        <f t="shared" si="0"/>
        <v>-1759222</v>
      </c>
      <c r="Q5" s="682" t="e">
        <f>#REF!/N5</f>
        <v>#REF!</v>
      </c>
      <c r="R5" s="307">
        <f aca="true" t="shared" si="1" ref="R5:Z5">SUM(R6:R10)</f>
        <v>27249255</v>
      </c>
      <c r="S5" s="307">
        <f>SUM(S6:S10)</f>
        <v>34859255</v>
      </c>
      <c r="T5" s="249">
        <f>SUM(T6:T10)</f>
        <v>0</v>
      </c>
      <c r="U5" s="249">
        <f>SUM(U6:U10)</f>
        <v>0</v>
      </c>
      <c r="V5" s="249">
        <f>SUM(V6:V10)</f>
        <v>3212866</v>
      </c>
      <c r="W5" s="249">
        <f>SUM(W6:W10)</f>
        <v>1759222</v>
      </c>
      <c r="X5" s="307">
        <f t="shared" si="1"/>
        <v>7923383</v>
      </c>
      <c r="Y5" s="249">
        <f t="shared" si="1"/>
        <v>7923383</v>
      </c>
      <c r="Z5" s="249">
        <f t="shared" si="1"/>
        <v>0</v>
      </c>
      <c r="AA5" s="249">
        <f>SUM(AA6:AA10)</f>
        <v>0</v>
      </c>
      <c r="AB5" s="249">
        <f>SUM(AB6:AB10)</f>
        <v>5610894</v>
      </c>
      <c r="AC5" s="249">
        <f>SUM(AC6:AC10)</f>
        <v>0</v>
      </c>
      <c r="AD5" s="747">
        <f>SUM(AD6:AD10)</f>
        <v>0</v>
      </c>
    </row>
    <row r="6" spans="1:30" s="5" customFormat="1" ht="33" customHeight="1">
      <c r="A6" s="70"/>
      <c r="B6" s="75" t="s">
        <v>34</v>
      </c>
      <c r="C6" s="75"/>
      <c r="D6" s="298" t="s">
        <v>0</v>
      </c>
      <c r="E6" s="308">
        <f>'4.sz.m.ÖNK kiadás'!E8+'5.1 sz. m Köz Hiv'!D36+'5.2 sz. m ÁMK'!D39+'üres lap'!D27</f>
        <v>222688836</v>
      </c>
      <c r="F6" s="308">
        <f>'4.sz.m.ÖNK kiadás'!F8+'5.1 sz. m Köz Hiv'!E36+'5.2 sz. m ÁMK'!E39+'üres lap'!E27</f>
        <v>222688836</v>
      </c>
      <c r="G6" s="308">
        <f>'4.sz.m.ÖNK kiadás'!G8+'5.1 sz. m Köz Hiv'!F36+'5.2 sz. m ÁMK'!F39+'üres lap'!F27</f>
        <v>0</v>
      </c>
      <c r="H6" s="308">
        <f>'4.sz.m.ÖNK kiadás'!H8+'5.1 sz. m Köz Hiv'!G36+'5.2 sz. m ÁMK'!G39+'üres lap'!G27</f>
        <v>0</v>
      </c>
      <c r="I6" s="308">
        <f>'4.sz.m.ÖNK kiadás'!I8+'5.1 sz. m Köz Hiv'!H36+'5.2 sz. m ÁMK'!H39+'üres lap'!H27</f>
        <v>0</v>
      </c>
      <c r="J6" s="308">
        <f>'4.sz.m.ÖNK kiadás'!J8+'5.1 sz. m Köz Hiv'!I36+'5.2 sz. m ÁMK'!I39+'üres lap'!I27</f>
        <v>0</v>
      </c>
      <c r="K6" s="308">
        <f aca="true" t="shared" si="2" ref="K6:P13">E6-R6</f>
        <v>218453213</v>
      </c>
      <c r="L6" s="308">
        <f t="shared" si="2"/>
        <v>218453213</v>
      </c>
      <c r="M6" s="251"/>
      <c r="N6" s="251"/>
      <c r="O6" s="251">
        <f t="shared" si="2"/>
        <v>0</v>
      </c>
      <c r="P6" s="251">
        <f t="shared" si="2"/>
        <v>0</v>
      </c>
      <c r="Q6" s="688" t="e">
        <f>#REF!/N6</f>
        <v>#REF!</v>
      </c>
      <c r="R6" s="308">
        <f>'4.sz.m.ÖNK kiadás'!S8+'5.1 sz. m Köz Hiv'!S36</f>
        <v>4235623</v>
      </c>
      <c r="S6" s="308">
        <f>'4.sz.m.ÖNK kiadás'!T8+'5.1 sz. m Köz Hiv'!T36</f>
        <v>4235623</v>
      </c>
      <c r="T6" s="251"/>
      <c r="U6" s="251"/>
      <c r="V6" s="251">
        <f>'4.sz.m.ÖNK kiadás'!W8</f>
        <v>0</v>
      </c>
      <c r="W6" s="251">
        <f>'4.sz.m.ÖNK kiadás'!X8</f>
        <v>0</v>
      </c>
      <c r="X6" s="308">
        <f>'5.1 sz. m Köz Hiv'!U36</f>
        <v>5806094</v>
      </c>
      <c r="Y6" s="251">
        <f>'5.1 sz. m Köz Hiv'!V36</f>
        <v>5806094</v>
      </c>
      <c r="Z6" s="251">
        <f>'5.1 sz. m Köz Hiv'!W36</f>
        <v>0</v>
      </c>
      <c r="AA6" s="251">
        <f>'5.1 sz. m Köz Hiv'!X36</f>
        <v>0</v>
      </c>
      <c r="AB6" s="251">
        <f>'5.1 sz. m Köz Hiv'!Y36</f>
        <v>3626473</v>
      </c>
      <c r="AC6" s="251">
        <f>'5.1 sz. m Köz Hiv'!Z36</f>
        <v>0</v>
      </c>
      <c r="AD6" s="748">
        <f>'5.1 sz. m Köz Hiv'!AC36</f>
        <v>0</v>
      </c>
    </row>
    <row r="7" spans="1:30" s="5" customFormat="1" ht="33" customHeight="1">
      <c r="A7" s="53"/>
      <c r="B7" s="62" t="s">
        <v>35</v>
      </c>
      <c r="C7" s="62"/>
      <c r="D7" s="299" t="s">
        <v>76</v>
      </c>
      <c r="E7" s="308">
        <f>'4.sz.m.ÖNK kiadás'!E9+'5.1 sz. m Köz Hiv'!D37+'5.2 sz. m ÁMK'!D40+'üres lap'!D28</f>
        <v>38852584</v>
      </c>
      <c r="F7" s="308">
        <f>'4.sz.m.ÖNK kiadás'!F9+'5.1 sz. m Köz Hiv'!E37+'5.2 sz. m ÁMK'!E40+'üres lap'!E28</f>
        <v>38852584</v>
      </c>
      <c r="G7" s="308">
        <f>'4.sz.m.ÖNK kiadás'!G9+'5.1 sz. m Köz Hiv'!F37+'5.2 sz. m ÁMK'!F40+'üres lap'!F28</f>
        <v>0</v>
      </c>
      <c r="H7" s="308">
        <f>'4.sz.m.ÖNK kiadás'!H9+'5.1 sz. m Köz Hiv'!G37+'5.2 sz. m ÁMK'!G40+'üres lap'!G28</f>
        <v>0</v>
      </c>
      <c r="I7" s="308">
        <f>'4.sz.m.ÖNK kiadás'!I9+'5.1 sz. m Köz Hiv'!H37+'5.2 sz. m ÁMK'!H40+'üres lap'!H28</f>
        <v>0</v>
      </c>
      <c r="J7" s="308">
        <f>'4.sz.m.ÖNK kiadás'!J9+'5.1 sz. m Köz Hiv'!I37+'5.2 sz. m ÁMK'!I40+'üres lap'!I28</f>
        <v>0</v>
      </c>
      <c r="K7" s="308">
        <f t="shared" si="2"/>
        <v>38159574</v>
      </c>
      <c r="L7" s="308">
        <f t="shared" si="2"/>
        <v>38159574</v>
      </c>
      <c r="M7" s="251"/>
      <c r="N7" s="251"/>
      <c r="O7" s="251">
        <f t="shared" si="2"/>
        <v>0</v>
      </c>
      <c r="P7" s="251">
        <f t="shared" si="2"/>
        <v>0</v>
      </c>
      <c r="Q7" s="688" t="e">
        <f>#REF!/N7</f>
        <v>#REF!</v>
      </c>
      <c r="R7" s="308">
        <f>'4.sz.m.ÖNK kiadás'!S9+'5.1 sz. m Köz Hiv'!S37</f>
        <v>693010</v>
      </c>
      <c r="S7" s="308">
        <f>'4.sz.m.ÖNK kiadás'!T9+'5.1 sz. m Köz Hiv'!T37</f>
        <v>693010</v>
      </c>
      <c r="T7" s="251"/>
      <c r="U7" s="251"/>
      <c r="V7" s="251">
        <f>'4.sz.m.ÖNK kiadás'!W9</f>
        <v>0</v>
      </c>
      <c r="W7" s="251">
        <f>'4.sz.m.ÖNK kiadás'!X9</f>
        <v>0</v>
      </c>
      <c r="X7" s="308">
        <f>'5.1 sz. m Köz Hiv'!U37</f>
        <v>1031148</v>
      </c>
      <c r="Y7" s="251">
        <f>'5.1 sz. m Köz Hiv'!V37</f>
        <v>1031148</v>
      </c>
      <c r="Z7" s="251">
        <f>'5.1 sz. m Köz Hiv'!W37</f>
        <v>0</v>
      </c>
      <c r="AA7" s="251">
        <f>'5.1 sz. m Köz Hiv'!X37</f>
        <v>0</v>
      </c>
      <c r="AB7" s="251">
        <f>'5.1 sz. m Köz Hiv'!Y37</f>
        <v>799596</v>
      </c>
      <c r="AC7" s="251">
        <f>'5.1 sz. m Köz Hiv'!Z37</f>
        <v>0</v>
      </c>
      <c r="AD7" s="748">
        <f>'5.1 sz. m Köz Hiv'!AC37</f>
        <v>0</v>
      </c>
    </row>
    <row r="8" spans="1:30" s="5" customFormat="1" ht="33" customHeight="1">
      <c r="A8" s="53"/>
      <c r="B8" s="62" t="s">
        <v>36</v>
      </c>
      <c r="C8" s="62"/>
      <c r="D8" s="299" t="s">
        <v>77</v>
      </c>
      <c r="E8" s="308">
        <f>'4.sz.m.ÖNK kiadás'!E10+'5.1 sz. m Köz Hiv'!D38+'5.2 sz. m ÁMK'!D41+'üres lap'!D29</f>
        <v>145494788</v>
      </c>
      <c r="F8" s="308">
        <f>'4.sz.m.ÖNK kiadás'!F10+'5.1 sz. m Köz Hiv'!E38+'5.2 sz. m ÁMK'!E41+'üres lap'!E29</f>
        <v>146164688</v>
      </c>
      <c r="G8" s="308">
        <f>'4.sz.m.ÖNK kiadás'!G10+'5.1 sz. m Köz Hiv'!F38+'5.2 sz. m ÁMK'!F41+'üres lap'!F29</f>
        <v>0</v>
      </c>
      <c r="H8" s="308">
        <f>'4.sz.m.ÖNK kiadás'!H10+'5.1 sz. m Köz Hiv'!G38+'5.2 sz. m ÁMK'!G41+'üres lap'!G29</f>
        <v>0</v>
      </c>
      <c r="I8" s="308">
        <f>'4.sz.m.ÖNK kiadás'!I10+'5.1 sz. m Köz Hiv'!H38+'5.2 sz. m ÁMK'!H41+'üres lap'!H29</f>
        <v>0</v>
      </c>
      <c r="J8" s="308">
        <f>'4.sz.m.ÖNK kiadás'!J10+'5.1 sz. m Köz Hiv'!I38+'5.2 sz. m ÁMK'!I41+'üres lap'!I29</f>
        <v>0</v>
      </c>
      <c r="K8" s="308">
        <f t="shared" si="2"/>
        <v>130123609</v>
      </c>
      <c r="L8" s="308">
        <f t="shared" si="2"/>
        <v>130793509</v>
      </c>
      <c r="M8" s="251">
        <f t="shared" si="2"/>
        <v>0</v>
      </c>
      <c r="N8" s="251">
        <f t="shared" si="2"/>
        <v>0</v>
      </c>
      <c r="O8" s="251">
        <f t="shared" si="2"/>
        <v>0</v>
      </c>
      <c r="P8" s="251">
        <f t="shared" si="2"/>
        <v>0</v>
      </c>
      <c r="Q8" s="688" t="e">
        <f>#REF!/N8</f>
        <v>#REF!</v>
      </c>
      <c r="R8" s="308">
        <f>'4.sz.m.ÖNK kiadás'!S10</f>
        <v>15371179</v>
      </c>
      <c r="S8" s="308">
        <f>'4.sz.m.ÖNK kiadás'!T10</f>
        <v>15371179</v>
      </c>
      <c r="T8" s="251">
        <f>'4.sz.m.ÖNK kiadás'!U10</f>
        <v>0</v>
      </c>
      <c r="U8" s="251">
        <f>'4.sz.m.ÖNK kiadás'!V10</f>
        <v>0</v>
      </c>
      <c r="V8" s="251">
        <f>'4.sz.m.ÖNK kiadás'!W10</f>
        <v>0</v>
      </c>
      <c r="W8" s="251">
        <f>'4.sz.m.ÖNK kiadás'!X10</f>
        <v>0</v>
      </c>
      <c r="X8" s="308">
        <f>'5.1 sz. m Köz Hiv'!U38</f>
        <v>1086141</v>
      </c>
      <c r="Y8" s="251">
        <f>'5.1 sz. m Köz Hiv'!V38</f>
        <v>1086141</v>
      </c>
      <c r="Z8" s="251">
        <f>'5.1 sz. m Köz Hiv'!W38</f>
        <v>0</v>
      </c>
      <c r="AA8" s="251">
        <f>'5.1 sz. m Köz Hiv'!X38</f>
        <v>0</v>
      </c>
      <c r="AB8" s="251">
        <f>'5.1 sz. m Köz Hiv'!Y38</f>
        <v>1184825</v>
      </c>
      <c r="AC8" s="251">
        <f>'5.1 sz. m Köz Hiv'!Z38</f>
        <v>0</v>
      </c>
      <c r="AD8" s="748">
        <f>'5.1 sz. m Köz Hiv'!AC38</f>
        <v>0</v>
      </c>
    </row>
    <row r="9" spans="1:30" s="5" customFormat="1" ht="33" customHeight="1">
      <c r="A9" s="53"/>
      <c r="B9" s="62" t="s">
        <v>47</v>
      </c>
      <c r="C9" s="62"/>
      <c r="D9" s="299" t="s">
        <v>78</v>
      </c>
      <c r="E9" s="308">
        <f>'4.sz.m.ÖNK kiadás'!E11+'5.1 sz. m Köz Hiv'!D39+'5.2 sz. m ÁMK'!D42+'üres lap'!D30</f>
        <v>2250000</v>
      </c>
      <c r="F9" s="308">
        <f>'4.sz.m.ÖNK kiadás'!F11+'5.1 sz. m Köz Hiv'!E39+'5.2 sz. m ÁMK'!E42+'üres lap'!E30</f>
        <v>2250000</v>
      </c>
      <c r="G9" s="308">
        <f>'4.sz.m.ÖNK kiadás'!G11+'5.1 sz. m Köz Hiv'!F39+'5.2 sz. m ÁMK'!F42+'üres lap'!F30</f>
        <v>0</v>
      </c>
      <c r="H9" s="308">
        <f>'4.sz.m.ÖNK kiadás'!H11+'5.1 sz. m Köz Hiv'!G39+'5.2 sz. m ÁMK'!G42+'üres lap'!G30</f>
        <v>0</v>
      </c>
      <c r="I9" s="308">
        <f>'4.sz.m.ÖNK kiadás'!I11+'5.1 sz. m Köz Hiv'!H39+'5.2 sz. m ÁMK'!H42+'üres lap'!H30</f>
        <v>0</v>
      </c>
      <c r="J9" s="308">
        <f>'4.sz.m.ÖNK kiadás'!J11+'5.1 sz. m Köz Hiv'!I39+'5.2 sz. m ÁMK'!I42+'üres lap'!I30</f>
        <v>0</v>
      </c>
      <c r="K9" s="308">
        <f t="shared" si="2"/>
        <v>2250000</v>
      </c>
      <c r="L9" s="308">
        <f t="shared" si="2"/>
        <v>2250000</v>
      </c>
      <c r="M9" s="251">
        <f t="shared" si="2"/>
        <v>0</v>
      </c>
      <c r="N9" s="251">
        <f t="shared" si="2"/>
        <v>0</v>
      </c>
      <c r="O9" s="251">
        <f t="shared" si="2"/>
        <v>-1300000</v>
      </c>
      <c r="P9" s="251">
        <f t="shared" si="2"/>
        <v>0</v>
      </c>
      <c r="Q9" s="688" t="e">
        <f>#REF!/N9</f>
        <v>#REF!</v>
      </c>
      <c r="R9" s="308">
        <f>'4.sz.m.ÖNK kiadás'!S11</f>
        <v>0</v>
      </c>
      <c r="S9" s="308">
        <f>'4.sz.m.ÖNK kiadás'!T11</f>
        <v>0</v>
      </c>
      <c r="T9" s="251">
        <f>'4.sz.m.ÖNK kiadás'!U11</f>
        <v>0</v>
      </c>
      <c r="U9" s="251">
        <f>'4.sz.m.ÖNK kiadás'!V11</f>
        <v>0</v>
      </c>
      <c r="V9" s="251">
        <f>'4.sz.m.ÖNK kiadás'!W11</f>
        <v>1300000</v>
      </c>
      <c r="W9" s="251">
        <f>'4.sz.m.ÖNK kiadás'!X11</f>
        <v>0</v>
      </c>
      <c r="X9" s="308">
        <v>0</v>
      </c>
      <c r="Y9" s="251"/>
      <c r="Z9" s="251"/>
      <c r="AA9" s="251"/>
      <c r="AB9" s="251"/>
      <c r="AC9" s="251"/>
      <c r="AD9" s="748"/>
    </row>
    <row r="10" spans="1:30" s="5" customFormat="1" ht="33" customHeight="1">
      <c r="A10" s="53"/>
      <c r="B10" s="62" t="s">
        <v>48</v>
      </c>
      <c r="C10" s="62"/>
      <c r="D10" s="300" t="s">
        <v>80</v>
      </c>
      <c r="E10" s="308">
        <f aca="true" t="shared" si="3" ref="E10:J10">SUM(E11:E15)</f>
        <v>151539652</v>
      </c>
      <c r="F10" s="308">
        <f t="shared" si="3"/>
        <v>159273710</v>
      </c>
      <c r="G10" s="308">
        <f t="shared" si="3"/>
        <v>0</v>
      </c>
      <c r="H10" s="308">
        <f t="shared" si="3"/>
        <v>0</v>
      </c>
      <c r="I10" s="308">
        <f t="shared" si="3"/>
        <v>0</v>
      </c>
      <c r="J10" s="308">
        <f t="shared" si="3"/>
        <v>0</v>
      </c>
      <c r="K10" s="308">
        <f t="shared" si="2"/>
        <v>144590209</v>
      </c>
      <c r="L10" s="308">
        <f t="shared" si="2"/>
        <v>144714267</v>
      </c>
      <c r="M10" s="251">
        <f t="shared" si="2"/>
        <v>0</v>
      </c>
      <c r="N10" s="251">
        <f t="shared" si="2"/>
        <v>0</v>
      </c>
      <c r="O10" s="251">
        <f t="shared" si="2"/>
        <v>-1912866</v>
      </c>
      <c r="P10" s="251">
        <f t="shared" si="2"/>
        <v>-1759222</v>
      </c>
      <c r="Q10" s="688" t="e">
        <f>#REF!/N10</f>
        <v>#REF!</v>
      </c>
      <c r="R10" s="308">
        <f>'4.sz.m.ÖNK kiadás'!S12</f>
        <v>6949443</v>
      </c>
      <c r="S10" s="308">
        <f>'4.sz.m.ÖNK kiadás'!T12</f>
        <v>14559443</v>
      </c>
      <c r="T10" s="251">
        <f>'4.sz.m.ÖNK kiadás'!U12</f>
        <v>0</v>
      </c>
      <c r="U10" s="251">
        <f>'4.sz.m.ÖNK kiadás'!V12</f>
        <v>0</v>
      </c>
      <c r="V10" s="251">
        <f>'4.sz.m.ÖNK kiadás'!W12</f>
        <v>1912866</v>
      </c>
      <c r="W10" s="251">
        <f>'4.sz.m.ÖNK kiadás'!X12</f>
        <v>1759222</v>
      </c>
      <c r="X10" s="308">
        <v>0</v>
      </c>
      <c r="Y10" s="251"/>
      <c r="Z10" s="251"/>
      <c r="AA10" s="251"/>
      <c r="AB10" s="251"/>
      <c r="AC10" s="251"/>
      <c r="AD10" s="748"/>
    </row>
    <row r="11" spans="1:30" s="5" customFormat="1" ht="33" customHeight="1">
      <c r="A11" s="53"/>
      <c r="B11" s="85"/>
      <c r="C11" s="62" t="s">
        <v>79</v>
      </c>
      <c r="D11" s="301" t="s">
        <v>262</v>
      </c>
      <c r="E11" s="308">
        <f>'4.sz.m.ÖNK kiadás'!E13</f>
        <v>0</v>
      </c>
      <c r="F11" s="308">
        <f>'4.sz.m.ÖNK kiadás'!F13</f>
        <v>124058</v>
      </c>
      <c r="G11" s="308">
        <f>'4.sz.m.ÖNK kiadás'!G13</f>
        <v>0</v>
      </c>
      <c r="H11" s="308">
        <f>'4.sz.m.ÖNK kiadás'!H13</f>
        <v>0</v>
      </c>
      <c r="I11" s="308">
        <f>'4.sz.m.ÖNK kiadás'!I13</f>
        <v>0</v>
      </c>
      <c r="J11" s="308">
        <f>'4.sz.m.ÖNK kiadás'!J13</f>
        <v>0</v>
      </c>
      <c r="K11" s="308">
        <f t="shared" si="2"/>
        <v>0</v>
      </c>
      <c r="L11" s="308">
        <f t="shared" si="2"/>
        <v>124058</v>
      </c>
      <c r="M11" s="251">
        <f t="shared" si="2"/>
        <v>0</v>
      </c>
      <c r="N11" s="251">
        <f t="shared" si="2"/>
        <v>0</v>
      </c>
      <c r="O11" s="251">
        <f t="shared" si="2"/>
        <v>-4</v>
      </c>
      <c r="P11" s="251">
        <f t="shared" si="2"/>
        <v>0</v>
      </c>
      <c r="Q11" s="688" t="e">
        <f>#REF!/N11</f>
        <v>#REF!</v>
      </c>
      <c r="R11" s="308">
        <f>'4.sz.m.ÖNK kiadás'!S13</f>
        <v>0</v>
      </c>
      <c r="S11" s="308">
        <f>'4.sz.m.ÖNK kiadás'!T13</f>
        <v>0</v>
      </c>
      <c r="T11" s="251">
        <f>'4.sz.m.ÖNK kiadás'!U13</f>
        <v>0</v>
      </c>
      <c r="U11" s="251">
        <f>'4.sz.m.ÖNK kiadás'!V13</f>
        <v>0</v>
      </c>
      <c r="V11" s="251">
        <f>'4.sz.m.ÖNK kiadás'!W13</f>
        <v>4</v>
      </c>
      <c r="W11" s="251">
        <f>'4.sz.m.ÖNK kiadás'!X13</f>
        <v>0</v>
      </c>
      <c r="X11" s="308">
        <v>0</v>
      </c>
      <c r="Y11" s="251"/>
      <c r="Z11" s="251"/>
      <c r="AA11" s="251"/>
      <c r="AB11" s="251"/>
      <c r="AC11" s="251"/>
      <c r="AD11" s="748"/>
    </row>
    <row r="12" spans="1:30" s="5" customFormat="1" ht="57.75" customHeight="1">
      <c r="A12" s="53"/>
      <c r="B12" s="62"/>
      <c r="C12" s="62" t="s">
        <v>81</v>
      </c>
      <c r="D12" s="299" t="s">
        <v>263</v>
      </c>
      <c r="E12" s="308">
        <f>'4.sz.m.ÖNK kiadás'!E14</f>
        <v>5574495</v>
      </c>
      <c r="F12" s="308">
        <f>'4.sz.m.ÖNK kiadás'!F14</f>
        <v>13184495</v>
      </c>
      <c r="G12" s="308">
        <f>'4.sz.m.ÖNK kiadás'!G14</f>
        <v>0</v>
      </c>
      <c r="H12" s="308">
        <f>'4.sz.m.ÖNK kiadás'!H14</f>
        <v>0</v>
      </c>
      <c r="I12" s="308">
        <f>'4.sz.m.ÖNK kiadás'!I14</f>
        <v>0</v>
      </c>
      <c r="J12" s="308">
        <f>'4.sz.m.ÖNK kiadás'!J14</f>
        <v>0</v>
      </c>
      <c r="K12" s="308">
        <f t="shared" si="2"/>
        <v>0</v>
      </c>
      <c r="L12" s="308">
        <f t="shared" si="2"/>
        <v>0</v>
      </c>
      <c r="M12" s="251">
        <f t="shared" si="2"/>
        <v>0</v>
      </c>
      <c r="N12" s="251">
        <f t="shared" si="2"/>
        <v>0</v>
      </c>
      <c r="O12" s="251">
        <f t="shared" si="2"/>
        <v>-153640</v>
      </c>
      <c r="P12" s="251">
        <f t="shared" si="2"/>
        <v>0</v>
      </c>
      <c r="Q12" s="688"/>
      <c r="R12" s="308">
        <f>'4.sz.m.ÖNK kiadás'!S14</f>
        <v>5574495</v>
      </c>
      <c r="S12" s="308">
        <f>'4.sz.m.ÖNK kiadás'!T14</f>
        <v>13184495</v>
      </c>
      <c r="T12" s="251">
        <f>'4.sz.m.ÖNK kiadás'!U14</f>
        <v>0</v>
      </c>
      <c r="U12" s="251">
        <f>'4.sz.m.ÖNK kiadás'!V14</f>
        <v>0</v>
      </c>
      <c r="V12" s="251">
        <f>'4.sz.m.ÖNK kiadás'!W14</f>
        <v>153640</v>
      </c>
      <c r="W12" s="251">
        <f>'4.sz.m.ÖNK kiadás'!X14</f>
        <v>0</v>
      </c>
      <c r="X12" s="308">
        <v>0</v>
      </c>
      <c r="Y12" s="251"/>
      <c r="Z12" s="251"/>
      <c r="AA12" s="251"/>
      <c r="AB12" s="251"/>
      <c r="AC12" s="251"/>
      <c r="AD12" s="748"/>
    </row>
    <row r="13" spans="1:30" s="5" customFormat="1" ht="54.75" customHeight="1" thickBot="1">
      <c r="A13" s="81"/>
      <c r="B13" s="82"/>
      <c r="C13" s="62" t="s">
        <v>82</v>
      </c>
      <c r="D13" s="299" t="s">
        <v>264</v>
      </c>
      <c r="E13" s="308">
        <f>'4.sz.m.ÖNK kiadás'!E15</f>
        <v>145965157</v>
      </c>
      <c r="F13" s="308">
        <f>'4.sz.m.ÖNK kiadás'!F15</f>
        <v>145965157</v>
      </c>
      <c r="G13" s="308">
        <f>'4.sz.m.ÖNK kiadás'!G15</f>
        <v>0</v>
      </c>
      <c r="H13" s="308">
        <f>'4.sz.m.ÖNK kiadás'!H15</f>
        <v>0</v>
      </c>
      <c r="I13" s="308">
        <f>'4.sz.m.ÖNK kiadás'!I15</f>
        <v>0</v>
      </c>
      <c r="J13" s="308">
        <f>'4.sz.m.ÖNK kiadás'!J15</f>
        <v>0</v>
      </c>
      <c r="K13" s="308">
        <f t="shared" si="2"/>
        <v>144590209</v>
      </c>
      <c r="L13" s="308">
        <f t="shared" si="2"/>
        <v>144590209</v>
      </c>
      <c r="M13" s="251">
        <f t="shared" si="2"/>
        <v>0</v>
      </c>
      <c r="N13" s="251">
        <f t="shared" si="2"/>
        <v>0</v>
      </c>
      <c r="O13" s="251">
        <f t="shared" si="2"/>
        <v>-1759222</v>
      </c>
      <c r="P13" s="251">
        <f t="shared" si="2"/>
        <v>-1759222</v>
      </c>
      <c r="Q13" s="688" t="e">
        <f>#REF!/N13</f>
        <v>#REF!</v>
      </c>
      <c r="R13" s="308">
        <f>'4.sz.m.ÖNK kiadás'!S15</f>
        <v>1374948</v>
      </c>
      <c r="S13" s="308">
        <f>'4.sz.m.ÖNK kiadás'!T15</f>
        <v>1374948</v>
      </c>
      <c r="T13" s="251">
        <f>'4.sz.m.ÖNK kiadás'!U15</f>
        <v>0</v>
      </c>
      <c r="U13" s="251">
        <f>'4.sz.m.ÖNK kiadás'!V15</f>
        <v>0</v>
      </c>
      <c r="V13" s="251">
        <f>'4.sz.m.ÖNK kiadás'!W15</f>
        <v>1759222</v>
      </c>
      <c r="W13" s="251">
        <f>'4.sz.m.ÖNK kiadás'!X15</f>
        <v>1759222</v>
      </c>
      <c r="X13" s="308">
        <v>0</v>
      </c>
      <c r="Y13" s="251"/>
      <c r="Z13" s="251"/>
      <c r="AA13" s="251"/>
      <c r="AB13" s="251"/>
      <c r="AC13" s="251"/>
      <c r="AD13" s="748"/>
    </row>
    <row r="14" spans="1:30" s="5" customFormat="1" ht="33" customHeight="1" hidden="1">
      <c r="A14" s="53"/>
      <c r="B14" s="62"/>
      <c r="C14" s="62" t="s">
        <v>85</v>
      </c>
      <c r="D14" s="299" t="s">
        <v>87</v>
      </c>
      <c r="E14" s="308"/>
      <c r="F14" s="308"/>
      <c r="G14" s="308"/>
      <c r="H14" s="308"/>
      <c r="I14" s="308"/>
      <c r="J14" s="308"/>
      <c r="K14" s="308"/>
      <c r="L14" s="308"/>
      <c r="M14" s="251"/>
      <c r="N14" s="251"/>
      <c r="O14" s="251"/>
      <c r="P14" s="251"/>
      <c r="Q14" s="688" t="e">
        <f>#REF!/N14</f>
        <v>#REF!</v>
      </c>
      <c r="R14" s="308">
        <f>'4.sz.m.ÖNK kiadás'!S16</f>
        <v>0</v>
      </c>
      <c r="S14" s="308">
        <f>'4.sz.m.ÖNK kiadás'!T16</f>
        <v>0</v>
      </c>
      <c r="T14" s="251">
        <f>'4.sz.m.ÖNK kiadás'!U16</f>
        <v>0</v>
      </c>
      <c r="U14" s="251">
        <f>'4.sz.m.ÖNK kiadás'!V16</f>
        <v>0</v>
      </c>
      <c r="V14" s="251">
        <f>'4.sz.m.ÖNK kiadás'!W16</f>
        <v>0</v>
      </c>
      <c r="W14" s="251">
        <f>'4.sz.m.ÖNK kiadás'!X16</f>
        <v>0</v>
      </c>
      <c r="X14" s="308"/>
      <c r="Y14" s="251"/>
      <c r="Z14" s="251"/>
      <c r="AA14" s="251"/>
      <c r="AB14" s="251"/>
      <c r="AC14" s="251"/>
      <c r="AD14" s="748"/>
    </row>
    <row r="15" spans="1:30" s="5" customFormat="1" ht="33" customHeight="1" hidden="1" thickBot="1">
      <c r="A15" s="89"/>
      <c r="B15" s="76"/>
      <c r="C15" s="76" t="s">
        <v>86</v>
      </c>
      <c r="D15" s="302" t="s">
        <v>88</v>
      </c>
      <c r="E15" s="308"/>
      <c r="F15" s="308"/>
      <c r="G15" s="308"/>
      <c r="H15" s="308"/>
      <c r="I15" s="308"/>
      <c r="J15" s="308"/>
      <c r="K15" s="308"/>
      <c r="L15" s="308"/>
      <c r="M15" s="251"/>
      <c r="N15" s="251"/>
      <c r="O15" s="251"/>
      <c r="P15" s="251"/>
      <c r="Q15" s="688" t="e">
        <f>#REF!/N15</f>
        <v>#REF!</v>
      </c>
      <c r="R15" s="308">
        <f>'4.sz.m.ÖNK kiadás'!S17</f>
        <v>0</v>
      </c>
      <c r="S15" s="308">
        <f>'4.sz.m.ÖNK kiadás'!T17</f>
        <v>0</v>
      </c>
      <c r="T15" s="251">
        <f>'4.sz.m.ÖNK kiadás'!U17</f>
        <v>0</v>
      </c>
      <c r="U15" s="251">
        <f>'4.sz.m.ÖNK kiadás'!V17</f>
        <v>0</v>
      </c>
      <c r="V15" s="251">
        <f>'4.sz.m.ÖNK kiadás'!W17</f>
        <v>0</v>
      </c>
      <c r="W15" s="251">
        <f>'4.sz.m.ÖNK kiadás'!X17</f>
        <v>0</v>
      </c>
      <c r="X15" s="308"/>
      <c r="Y15" s="251"/>
      <c r="Z15" s="251"/>
      <c r="AA15" s="251"/>
      <c r="AB15" s="251"/>
      <c r="AC15" s="251"/>
      <c r="AD15" s="748"/>
    </row>
    <row r="16" spans="1:30" s="5" customFormat="1" ht="33" customHeight="1" thickBot="1">
      <c r="A16" s="71" t="s">
        <v>27</v>
      </c>
      <c r="B16" s="1250" t="s">
        <v>89</v>
      </c>
      <c r="C16" s="1250"/>
      <c r="D16" s="1250"/>
      <c r="E16" s="309">
        <f aca="true" t="shared" si="4" ref="E16:P16">SUM(E17:E19)</f>
        <v>266031742</v>
      </c>
      <c r="F16" s="309">
        <f t="shared" si="4"/>
        <v>252771315</v>
      </c>
      <c r="G16" s="309">
        <f t="shared" si="4"/>
        <v>0</v>
      </c>
      <c r="H16" s="309">
        <f t="shared" si="4"/>
        <v>0</v>
      </c>
      <c r="I16" s="309">
        <f t="shared" si="4"/>
        <v>0</v>
      </c>
      <c r="J16" s="309">
        <f t="shared" si="4"/>
        <v>0</v>
      </c>
      <c r="K16" s="309">
        <f t="shared" si="4"/>
        <v>257965235</v>
      </c>
      <c r="L16" s="309">
        <f t="shared" si="4"/>
        <v>244355029</v>
      </c>
      <c r="M16" s="40">
        <f t="shared" si="4"/>
        <v>389645762</v>
      </c>
      <c r="N16" s="40">
        <f t="shared" si="4"/>
        <v>0</v>
      </c>
      <c r="O16" s="40" t="e">
        <f t="shared" si="4"/>
        <v>#REF!</v>
      </c>
      <c r="P16" s="40" t="e">
        <f t="shared" si="4"/>
        <v>#REF!</v>
      </c>
      <c r="Q16" s="686" t="e">
        <f>#REF!/N16</f>
        <v>#REF!</v>
      </c>
      <c r="R16" s="309">
        <f aca="true" t="shared" si="5" ref="R16:W16">SUM(R17:R19)</f>
        <v>8066507</v>
      </c>
      <c r="S16" s="309">
        <f>SUM(S17:S19)</f>
        <v>8416286</v>
      </c>
      <c r="T16" s="40">
        <f>SUM(T17:T19)</f>
        <v>4195548</v>
      </c>
      <c r="U16" s="40">
        <f t="shared" si="5"/>
        <v>0</v>
      </c>
      <c r="V16" s="40">
        <f t="shared" si="5"/>
        <v>4870000</v>
      </c>
      <c r="W16" s="40">
        <f t="shared" si="5"/>
        <v>0</v>
      </c>
      <c r="X16" s="309">
        <f aca="true" t="shared" si="6" ref="X16:AD16">SUM(X17:X19)</f>
        <v>0</v>
      </c>
      <c r="Y16" s="40">
        <f t="shared" si="6"/>
        <v>0</v>
      </c>
      <c r="Z16" s="40">
        <f t="shared" si="6"/>
        <v>0</v>
      </c>
      <c r="AA16" s="40">
        <f t="shared" si="6"/>
        <v>0</v>
      </c>
      <c r="AB16" s="40">
        <f t="shared" si="6"/>
        <v>0</v>
      </c>
      <c r="AC16" s="40">
        <f t="shared" si="6"/>
        <v>0</v>
      </c>
      <c r="AD16" s="749">
        <f t="shared" si="6"/>
        <v>0</v>
      </c>
    </row>
    <row r="17" spans="1:30" s="5" customFormat="1" ht="33" customHeight="1">
      <c r="A17" s="70"/>
      <c r="B17" s="75" t="s">
        <v>37</v>
      </c>
      <c r="C17" s="1255" t="s">
        <v>90</v>
      </c>
      <c r="D17" s="1255"/>
      <c r="E17" s="308">
        <f>'4.sz.m.ÖNK kiadás'!E19+'5.1 sz. m Köz Hiv'!D42+'5.2 sz. m ÁMK'!D45+'üres lap'!D33</f>
        <v>63700312</v>
      </c>
      <c r="F17" s="308">
        <f>'4.sz.m.ÖNK kiadás'!F19+'5.1 sz. m Köz Hiv'!E42+'5.2 sz. m ÁMK'!E45+'üres lap'!E33</f>
        <v>61481836</v>
      </c>
      <c r="G17" s="308">
        <f>'4.sz.m.ÖNK kiadás'!G19+'5.1 sz. m Köz Hiv'!F42+'5.2 sz. m ÁMK'!F45+'üres lap'!F33</f>
        <v>0</v>
      </c>
      <c r="H17" s="308">
        <f>'4.sz.m.ÖNK kiadás'!H19+'5.1 sz. m Köz Hiv'!G42+'5.2 sz. m ÁMK'!G45+'üres lap'!G33</f>
        <v>0</v>
      </c>
      <c r="I17" s="308">
        <f>'4.sz.m.ÖNK kiadás'!I19+'5.1 sz. m Köz Hiv'!H42+'5.2 sz. m ÁMK'!H45+'üres lap'!H33</f>
        <v>0</v>
      </c>
      <c r="J17" s="308">
        <f>'4.sz.m.ÖNK kiadás'!J19+'5.1 sz. m Köz Hiv'!I42+'5.2 sz. m ÁMK'!I45+'üres lap'!I33</f>
        <v>0</v>
      </c>
      <c r="K17" s="308">
        <f>'4.sz.m.ÖNK kiadás'!L19+'5.1 sz. m Köz Hiv'!L42+'5.2 sz. m ÁMK'!L45</f>
        <v>63700312</v>
      </c>
      <c r="L17" s="308">
        <f>'4.sz.m.ÖNK kiadás'!M19+'5.1 sz. m Köz Hiv'!M42+'5.2 sz. m ÁMK'!M45</f>
        <v>61292176</v>
      </c>
      <c r="M17" s="251">
        <f>'4.sz.m.ÖNK kiadás'!N19+'5.1 sz. m Köz Hiv'!N42+'5.2 sz. m ÁMK'!N45</f>
        <v>116422453</v>
      </c>
      <c r="N17" s="251">
        <f>'4.sz.m.ÖNK kiadás'!O19+'5.1 sz. m Köz Hiv'!O42+'5.2 sz. m ÁMK'!O45+'üres lap'!M33</f>
        <v>0</v>
      </c>
      <c r="O17" s="251" t="e">
        <f>'4.sz.m.ÖNK kiadás'!P19+'5.1 sz. m Köz Hiv'!P42+'5.2 sz. m ÁMK'!P45+'üres lap'!N33</f>
        <v>#REF!</v>
      </c>
      <c r="P17" s="251" t="e">
        <f>'4.sz.m.ÖNK kiadás'!Q19+'5.1 sz. m Köz Hiv'!Q42+'5.2 sz. m ÁMK'!Q45+'üres lap'!O33</f>
        <v>#REF!</v>
      </c>
      <c r="Q17" s="688" t="e">
        <f>#REF!/N17</f>
        <v>#REF!</v>
      </c>
      <c r="R17" s="308">
        <f>'4.sz.m.ÖNK kiadás'!S19</f>
        <v>0</v>
      </c>
      <c r="S17" s="308">
        <f>'4.sz.m.ÖNK kiadás'!T19</f>
        <v>189660</v>
      </c>
      <c r="T17" s="251">
        <f>'4.sz.m.ÖNK kiadás'!U19</f>
        <v>4195548</v>
      </c>
      <c r="U17" s="251">
        <f>'4.sz.m.ÖNK kiadás'!V19</f>
        <v>0</v>
      </c>
      <c r="V17" s="251">
        <f>'4.sz.m.ÖNK kiadás'!W19</f>
        <v>0</v>
      </c>
      <c r="W17" s="251">
        <f>'4.sz.m.ÖNK kiadás'!X19</f>
        <v>0</v>
      </c>
      <c r="X17" s="308">
        <v>0</v>
      </c>
      <c r="Y17" s="251"/>
      <c r="Z17" s="251"/>
      <c r="AA17" s="251"/>
      <c r="AB17" s="251"/>
      <c r="AC17" s="251"/>
      <c r="AD17" s="748"/>
    </row>
    <row r="18" spans="1:30" s="5" customFormat="1" ht="33" customHeight="1">
      <c r="A18" s="53"/>
      <c r="B18" s="62" t="s">
        <v>38</v>
      </c>
      <c r="C18" s="1256" t="s">
        <v>91</v>
      </c>
      <c r="D18" s="1256"/>
      <c r="E18" s="308">
        <f>'4.sz.m.ÖNK kiadás'!E20</f>
        <v>196331430</v>
      </c>
      <c r="F18" s="308">
        <f>'4.sz.m.ÖNK kiadás'!F20</f>
        <v>185289479</v>
      </c>
      <c r="G18" s="308">
        <f>'4.sz.m.ÖNK kiadás'!G20</f>
        <v>0</v>
      </c>
      <c r="H18" s="308">
        <f>'4.sz.m.ÖNK kiadás'!H20</f>
        <v>0</v>
      </c>
      <c r="I18" s="308">
        <f>'4.sz.m.ÖNK kiadás'!I20</f>
        <v>0</v>
      </c>
      <c r="J18" s="308">
        <f>'4.sz.m.ÖNK kiadás'!J20</f>
        <v>0</v>
      </c>
      <c r="K18" s="308">
        <f>'4.sz.m.ÖNK kiadás'!L20+'5.1 sz. m Köz Hiv'!L43+'5.2 sz. m ÁMK'!L46</f>
        <v>194264923</v>
      </c>
      <c r="L18" s="308">
        <f>'4.sz.m.ÖNK kiadás'!M20+'5.1 sz. m Köz Hiv'!M43+'5.2 sz. m ÁMK'!M46</f>
        <v>183062853</v>
      </c>
      <c r="M18" s="251">
        <f>'4.sz.m.ÖNK kiadás'!N20+'5.1 sz. m Köz Hiv'!N43+'5.2 sz. m ÁMK'!N46</f>
        <v>273223309</v>
      </c>
      <c r="N18" s="251">
        <f>'4.sz.m.ÖNK kiadás'!O20+'5.2 sz. m ÁMK'!O47</f>
        <v>0</v>
      </c>
      <c r="O18" s="251" t="e">
        <f>'4.sz.m.ÖNK kiadás'!P20+'5.2 sz. m ÁMK'!P47</f>
        <v>#REF!</v>
      </c>
      <c r="P18" s="251" t="e">
        <f>'4.sz.m.ÖNK kiadás'!Q20+'5.2 sz. m ÁMK'!Q47</f>
        <v>#REF!</v>
      </c>
      <c r="Q18" s="688" t="e">
        <f>#REF!/N18</f>
        <v>#REF!</v>
      </c>
      <c r="R18" s="308">
        <f>'4.sz.m.ÖNK kiadás'!S20</f>
        <v>2066507</v>
      </c>
      <c r="S18" s="308">
        <f>'4.sz.m.ÖNK kiadás'!T20</f>
        <v>2226626</v>
      </c>
      <c r="T18" s="251">
        <f>'4.sz.m.ÖNK kiadás'!U20</f>
        <v>0</v>
      </c>
      <c r="U18" s="251">
        <f>'4.sz.m.ÖNK kiadás'!V20</f>
        <v>0</v>
      </c>
      <c r="V18" s="251">
        <f>'4.sz.m.ÖNK kiadás'!W20</f>
        <v>0</v>
      </c>
      <c r="W18" s="251">
        <f>'4.sz.m.ÖNK kiadás'!X20</f>
        <v>0</v>
      </c>
      <c r="X18" s="308">
        <v>0</v>
      </c>
      <c r="Y18" s="251"/>
      <c r="Z18" s="251"/>
      <c r="AA18" s="251"/>
      <c r="AB18" s="251"/>
      <c r="AC18" s="251"/>
      <c r="AD18" s="748"/>
    </row>
    <row r="19" spans="1:30" s="5" customFormat="1" ht="33" customHeight="1">
      <c r="A19" s="83"/>
      <c r="B19" s="62" t="s">
        <v>39</v>
      </c>
      <c r="C19" s="1247" t="s">
        <v>92</v>
      </c>
      <c r="D19" s="1247"/>
      <c r="E19" s="308">
        <f>'4.sz.m.ÖNK kiadás'!E21</f>
        <v>6000000</v>
      </c>
      <c r="F19" s="308">
        <f>'4.sz.m.ÖNK kiadás'!F21</f>
        <v>6000000</v>
      </c>
      <c r="G19" s="308">
        <f>'4.sz.m.ÖNK kiadás'!G21</f>
        <v>0</v>
      </c>
      <c r="H19" s="308">
        <f>'4.sz.m.ÖNK kiadás'!H21</f>
        <v>0</v>
      </c>
      <c r="I19" s="308">
        <f>'4.sz.m.ÖNK kiadás'!I21</f>
        <v>0</v>
      </c>
      <c r="J19" s="308">
        <f>'4.sz.m.ÖNK kiadás'!J21</f>
        <v>0</v>
      </c>
      <c r="K19" s="308">
        <f>'4.sz.m.ÖNK kiadás'!L21</f>
        <v>0</v>
      </c>
      <c r="L19" s="308">
        <f>'4.sz.m.ÖNK kiadás'!M21</f>
        <v>0</v>
      </c>
      <c r="M19" s="251">
        <f>'4.sz.m.ÖNK kiadás'!N21</f>
        <v>0</v>
      </c>
      <c r="N19" s="251">
        <f>'4.sz.m.ÖNK kiadás'!O21</f>
        <v>0</v>
      </c>
      <c r="O19" s="251">
        <f>'4.sz.m.ÖNK kiadás'!P21</f>
        <v>-4870000</v>
      </c>
      <c r="P19" s="251">
        <f>'4.sz.m.ÖNK kiadás'!Q21</f>
        <v>0</v>
      </c>
      <c r="Q19" s="688"/>
      <c r="R19" s="308">
        <f>'4.sz.m.ÖNK kiadás'!S21</f>
        <v>6000000</v>
      </c>
      <c r="S19" s="308">
        <f>'4.sz.m.ÖNK kiadás'!T21</f>
        <v>6000000</v>
      </c>
      <c r="T19" s="251">
        <f>'4.sz.m.ÖNK kiadás'!U21</f>
        <v>0</v>
      </c>
      <c r="U19" s="251">
        <f>'4.sz.m.ÖNK kiadás'!V21</f>
        <v>0</v>
      </c>
      <c r="V19" s="251">
        <f>'4.sz.m.ÖNK kiadás'!W21</f>
        <v>4870000</v>
      </c>
      <c r="W19" s="251">
        <f>'4.sz.m.ÖNK kiadás'!X21</f>
        <v>0</v>
      </c>
      <c r="X19" s="308">
        <v>0</v>
      </c>
      <c r="Y19" s="251"/>
      <c r="Z19" s="251"/>
      <c r="AA19" s="251"/>
      <c r="AB19" s="251"/>
      <c r="AC19" s="251"/>
      <c r="AD19" s="748"/>
    </row>
    <row r="20" spans="1:30" s="5" customFormat="1" ht="33" customHeight="1">
      <c r="A20" s="59"/>
      <c r="B20" s="63"/>
      <c r="C20" s="63" t="s">
        <v>93</v>
      </c>
      <c r="D20" s="208" t="s">
        <v>83</v>
      </c>
      <c r="E20" s="308">
        <f>'4.sz.m.ÖNK kiadás'!E22</f>
        <v>6000000</v>
      </c>
      <c r="F20" s="308">
        <f>'4.sz.m.ÖNK kiadás'!F22</f>
        <v>6000000</v>
      </c>
      <c r="G20" s="308">
        <f>'4.sz.m.ÖNK kiadás'!G22</f>
        <v>0</v>
      </c>
      <c r="H20" s="308">
        <f>'4.sz.m.ÖNK kiadás'!H22</f>
        <v>0</v>
      </c>
      <c r="I20" s="308">
        <f>'4.sz.m.ÖNK kiadás'!I22</f>
        <v>0</v>
      </c>
      <c r="J20" s="308">
        <f>'4.sz.m.ÖNK kiadás'!J22</f>
        <v>0</v>
      </c>
      <c r="K20" s="308">
        <f>'4.sz.m.ÖNK kiadás'!L22</f>
        <v>0</v>
      </c>
      <c r="L20" s="308">
        <f>'4.sz.m.ÖNK kiadás'!M22</f>
        <v>0</v>
      </c>
      <c r="M20" s="251">
        <f>'4.sz.m.ÖNK kiadás'!N22</f>
        <v>0</v>
      </c>
      <c r="N20" s="251">
        <f>'4.sz.m.ÖNK kiadás'!O22</f>
        <v>0</v>
      </c>
      <c r="O20" s="251">
        <f>'4.sz.m.ÖNK kiadás'!P22</f>
        <v>-4870000</v>
      </c>
      <c r="P20" s="251">
        <f>'4.sz.m.ÖNK kiadás'!Q22</f>
        <v>0</v>
      </c>
      <c r="Q20" s="688"/>
      <c r="R20" s="308">
        <f>'4.sz.m.ÖNK kiadás'!S22</f>
        <v>6000000</v>
      </c>
      <c r="S20" s="308">
        <f>'4.sz.m.ÖNK kiadás'!T22</f>
        <v>6000000</v>
      </c>
      <c r="T20" s="251">
        <f>'4.sz.m.ÖNK kiadás'!U22</f>
        <v>0</v>
      </c>
      <c r="U20" s="251">
        <f>'4.sz.m.ÖNK kiadás'!V22</f>
        <v>0</v>
      </c>
      <c r="V20" s="251">
        <f>'4.sz.m.ÖNK kiadás'!W22</f>
        <v>4870000</v>
      </c>
      <c r="W20" s="251">
        <f>'4.sz.m.ÖNK kiadás'!X22</f>
        <v>0</v>
      </c>
      <c r="X20" s="308">
        <v>0</v>
      </c>
      <c r="Y20" s="251"/>
      <c r="Z20" s="251"/>
      <c r="AA20" s="251"/>
      <c r="AB20" s="251"/>
      <c r="AC20" s="251"/>
      <c r="AD20" s="748"/>
    </row>
    <row r="21" spans="1:30" s="5" customFormat="1" ht="33" customHeight="1">
      <c r="A21" s="59"/>
      <c r="B21" s="63"/>
      <c r="C21" s="63" t="s">
        <v>94</v>
      </c>
      <c r="D21" s="208" t="s">
        <v>84</v>
      </c>
      <c r="E21" s="308">
        <f>'4.sz.m.ÖNK kiadás'!E23</f>
        <v>0</v>
      </c>
      <c r="F21" s="308">
        <f>'4.sz.m.ÖNK kiadás'!F23</f>
        <v>0</v>
      </c>
      <c r="G21" s="308">
        <f>'4.sz.m.ÖNK kiadás'!G23</f>
        <v>0</v>
      </c>
      <c r="H21" s="308">
        <f>'4.sz.m.ÖNK kiadás'!H23</f>
        <v>0</v>
      </c>
      <c r="I21" s="308">
        <f>'4.sz.m.ÖNK kiadás'!I23</f>
        <v>0</v>
      </c>
      <c r="J21" s="308">
        <f>'4.sz.m.ÖNK kiadás'!J23</f>
        <v>0</v>
      </c>
      <c r="K21" s="308">
        <f>'4.sz.m.ÖNK kiadás'!L23</f>
        <v>0</v>
      </c>
      <c r="L21" s="308">
        <f>'4.sz.m.ÖNK kiadás'!M23</f>
        <v>0</v>
      </c>
      <c r="M21" s="251">
        <f>'4.sz.m.ÖNK kiadás'!N23</f>
        <v>0</v>
      </c>
      <c r="N21" s="251">
        <f>'4.sz.m.ÖNK kiadás'!O23</f>
        <v>0</v>
      </c>
      <c r="O21" s="251">
        <f>'4.sz.m.ÖNK kiadás'!P23</f>
        <v>0</v>
      </c>
      <c r="P21" s="251">
        <f>'4.sz.m.ÖNK kiadás'!Q23</f>
        <v>0</v>
      </c>
      <c r="Q21" s="688"/>
      <c r="R21" s="308">
        <v>0</v>
      </c>
      <c r="S21" s="308">
        <v>0</v>
      </c>
      <c r="T21" s="251"/>
      <c r="U21" s="251"/>
      <c r="V21" s="251"/>
      <c r="W21" s="251"/>
      <c r="X21" s="308">
        <v>0</v>
      </c>
      <c r="Y21" s="251"/>
      <c r="Z21" s="251"/>
      <c r="AA21" s="251"/>
      <c r="AB21" s="251"/>
      <c r="AC21" s="251"/>
      <c r="AD21" s="748"/>
    </row>
    <row r="22" spans="1:30" s="5" customFormat="1" ht="33" customHeight="1">
      <c r="A22" s="83"/>
      <c r="B22" s="208"/>
      <c r="C22" s="63" t="s">
        <v>95</v>
      </c>
      <c r="D22" s="208" t="s">
        <v>455</v>
      </c>
      <c r="E22" s="308">
        <f>'4.sz.m.ÖNK kiadás'!E24</f>
        <v>0</v>
      </c>
      <c r="F22" s="308">
        <f>'4.sz.m.ÖNK kiadás'!F24</f>
        <v>0</v>
      </c>
      <c r="G22" s="308">
        <f>'4.sz.m.ÖNK kiadás'!G24</f>
        <v>0</v>
      </c>
      <c r="H22" s="308">
        <f>'4.sz.m.ÖNK kiadás'!H24</f>
        <v>0</v>
      </c>
      <c r="I22" s="308">
        <f>'4.sz.m.ÖNK kiadás'!I24</f>
        <v>0</v>
      </c>
      <c r="J22" s="308">
        <f>'4.sz.m.ÖNK kiadás'!J24</f>
        <v>0</v>
      </c>
      <c r="K22" s="308">
        <f>'4.sz.m.ÖNK kiadás'!L24</f>
        <v>0</v>
      </c>
      <c r="L22" s="308">
        <f>'4.sz.m.ÖNK kiadás'!M24</f>
        <v>0</v>
      </c>
      <c r="M22" s="251">
        <f>'4.sz.m.ÖNK kiadás'!N24</f>
        <v>0</v>
      </c>
      <c r="N22" s="251">
        <f>'4.sz.m.ÖNK kiadás'!O24</f>
        <v>0</v>
      </c>
      <c r="O22" s="251">
        <f>'4.sz.m.ÖNK kiadás'!P24</f>
        <v>0</v>
      </c>
      <c r="P22" s="251">
        <f>'4.sz.m.ÖNK kiadás'!Q24</f>
        <v>0</v>
      </c>
      <c r="Q22" s="688"/>
      <c r="R22" s="308">
        <v>0</v>
      </c>
      <c r="S22" s="308">
        <v>0</v>
      </c>
      <c r="T22" s="251"/>
      <c r="U22" s="251">
        <f>'4.sz.m.ÖNK kiadás'!V24</f>
        <v>0</v>
      </c>
      <c r="V22" s="251">
        <f>'4.sz.m.ÖNK kiadás'!W24</f>
        <v>0</v>
      </c>
      <c r="W22" s="251">
        <f>'4.sz.m.ÖNK kiadás'!X24</f>
        <v>0</v>
      </c>
      <c r="X22" s="308">
        <v>0</v>
      </c>
      <c r="Y22" s="251"/>
      <c r="Z22" s="251"/>
      <c r="AA22" s="251"/>
      <c r="AB22" s="251"/>
      <c r="AC22" s="251"/>
      <c r="AD22" s="748"/>
    </row>
    <row r="23" spans="1:30" s="5" customFormat="1" ht="33" customHeight="1" thickBot="1">
      <c r="A23" s="232"/>
      <c r="B23" s="233"/>
      <c r="C23" s="234" t="s">
        <v>202</v>
      </c>
      <c r="D23" s="233" t="s">
        <v>203</v>
      </c>
      <c r="E23" s="308">
        <f>'4.sz.m.ÖNK kiadás'!E25</f>
        <v>0</v>
      </c>
      <c r="F23" s="308">
        <f>'4.sz.m.ÖNK kiadás'!F25</f>
        <v>0</v>
      </c>
      <c r="G23" s="308">
        <f>'4.sz.m.ÖNK kiadás'!G25</f>
        <v>0</v>
      </c>
      <c r="H23" s="308">
        <f>'4.sz.m.ÖNK kiadás'!H25</f>
        <v>0</v>
      </c>
      <c r="I23" s="308">
        <f>'4.sz.m.ÖNK kiadás'!I25</f>
        <v>0</v>
      </c>
      <c r="J23" s="308">
        <f>'4.sz.m.ÖNK kiadás'!J25</f>
        <v>0</v>
      </c>
      <c r="K23" s="308">
        <f>'4.sz.m.ÖNK kiadás'!L25</f>
        <v>0</v>
      </c>
      <c r="L23" s="308">
        <f>'4.sz.m.ÖNK kiadás'!M25</f>
        <v>0</v>
      </c>
      <c r="M23" s="251">
        <f>'4.sz.m.ÖNK kiadás'!N25</f>
        <v>0</v>
      </c>
      <c r="N23" s="251">
        <f>'4.sz.m.ÖNK kiadás'!O25</f>
        <v>0</v>
      </c>
      <c r="O23" s="251">
        <f>'4.sz.m.ÖNK kiadás'!P25</f>
        <v>0</v>
      </c>
      <c r="P23" s="251">
        <f>'4.sz.m.ÖNK kiadás'!Q25</f>
        <v>0</v>
      </c>
      <c r="Q23" s="688"/>
      <c r="R23" s="308">
        <v>0</v>
      </c>
      <c r="S23" s="308">
        <v>0</v>
      </c>
      <c r="T23" s="251"/>
      <c r="U23" s="251"/>
      <c r="V23" s="251"/>
      <c r="W23" s="251"/>
      <c r="X23" s="308">
        <v>0</v>
      </c>
      <c r="Y23" s="251"/>
      <c r="Z23" s="251"/>
      <c r="AA23" s="251"/>
      <c r="AB23" s="251"/>
      <c r="AC23" s="251"/>
      <c r="AD23" s="748"/>
    </row>
    <row r="24" spans="1:30" s="5" customFormat="1" ht="33" customHeight="1" thickBot="1">
      <c r="A24" s="71" t="s">
        <v>9</v>
      </c>
      <c r="B24" s="1250" t="s">
        <v>96</v>
      </c>
      <c r="C24" s="1250"/>
      <c r="D24" s="1250"/>
      <c r="E24" s="309">
        <f aca="true" t="shared" si="7" ref="E24:P24">SUM(E25:E27)</f>
        <v>88768165</v>
      </c>
      <c r="F24" s="309">
        <f t="shared" si="7"/>
        <v>80172407</v>
      </c>
      <c r="G24" s="309">
        <f t="shared" si="7"/>
        <v>0</v>
      </c>
      <c r="H24" s="309">
        <f t="shared" si="7"/>
        <v>0</v>
      </c>
      <c r="I24" s="309">
        <f t="shared" si="7"/>
        <v>57410165</v>
      </c>
      <c r="J24" s="309">
        <f t="shared" si="7"/>
        <v>0</v>
      </c>
      <c r="K24" s="309">
        <f t="shared" si="7"/>
        <v>88768165</v>
      </c>
      <c r="L24" s="309">
        <f t="shared" si="7"/>
        <v>80172407</v>
      </c>
      <c r="M24" s="40">
        <f t="shared" si="7"/>
        <v>0</v>
      </c>
      <c r="N24" s="40">
        <f t="shared" si="7"/>
        <v>0</v>
      </c>
      <c r="O24" s="40">
        <f t="shared" si="7"/>
        <v>57410165</v>
      </c>
      <c r="P24" s="40">
        <f t="shared" si="7"/>
        <v>0</v>
      </c>
      <c r="Q24" s="686" t="e">
        <f>#REF!/N24</f>
        <v>#REF!</v>
      </c>
      <c r="R24" s="309">
        <f aca="true" t="shared" si="8" ref="R24:Z24">SUM(R25:R27)</f>
        <v>0</v>
      </c>
      <c r="S24" s="309">
        <f>SUM(S25:S27)</f>
        <v>0</v>
      </c>
      <c r="T24" s="40">
        <f>SUM(T25:T27)</f>
        <v>0</v>
      </c>
      <c r="U24" s="40">
        <f>SUM(U25:U27)</f>
        <v>0</v>
      </c>
      <c r="V24" s="40">
        <f>SUM(V25:V27)</f>
        <v>0</v>
      </c>
      <c r="W24" s="40">
        <f>SUM(W25:W27)</f>
        <v>0</v>
      </c>
      <c r="X24" s="309">
        <f t="shared" si="8"/>
        <v>0</v>
      </c>
      <c r="Y24" s="40">
        <f t="shared" si="8"/>
        <v>0</v>
      </c>
      <c r="Z24" s="40">
        <f t="shared" si="8"/>
        <v>0</v>
      </c>
      <c r="AA24" s="40">
        <f>SUM(AA25:AA27)</f>
        <v>0</v>
      </c>
      <c r="AB24" s="40">
        <f>SUM(AB25:AB27)</f>
        <v>0</v>
      </c>
      <c r="AC24" s="40">
        <f>SUM(AC25:AC27)</f>
        <v>0</v>
      </c>
      <c r="AD24" s="749">
        <f>SUM(AD25:AD27)</f>
        <v>0</v>
      </c>
    </row>
    <row r="25" spans="1:30" s="5" customFormat="1" ht="33" customHeight="1">
      <c r="A25" s="70"/>
      <c r="B25" s="75" t="s">
        <v>40</v>
      </c>
      <c r="C25" s="1255" t="s">
        <v>2</v>
      </c>
      <c r="D25" s="1255"/>
      <c r="E25" s="308">
        <f>'4.sz.m.ÖNK kiadás'!E27</f>
        <v>88768165</v>
      </c>
      <c r="F25" s="308">
        <f>'4.sz.m.ÖNK kiadás'!F27</f>
        <v>80172407</v>
      </c>
      <c r="G25" s="308">
        <f>'4.sz.m.ÖNK kiadás'!G27</f>
        <v>0</v>
      </c>
      <c r="H25" s="308">
        <f>'4.sz.m.ÖNK kiadás'!H27</f>
        <v>0</v>
      </c>
      <c r="I25" s="308">
        <f>'4.sz.m.ÖNK kiadás'!I27</f>
        <v>57410165</v>
      </c>
      <c r="J25" s="308">
        <f>'4.sz.m.ÖNK kiadás'!J27</f>
        <v>0</v>
      </c>
      <c r="K25" s="308">
        <f>'4.sz.m.ÖNK kiadás'!L27</f>
        <v>88768165</v>
      </c>
      <c r="L25" s="308">
        <f>'4.sz.m.ÖNK kiadás'!M27</f>
        <v>80172407</v>
      </c>
      <c r="M25" s="251">
        <f>'4.sz.m.ÖNK kiadás'!N27</f>
        <v>0</v>
      </c>
      <c r="N25" s="251">
        <f>'4.sz.m.ÖNK kiadás'!O27</f>
        <v>0</v>
      </c>
      <c r="O25" s="251">
        <f>'4.sz.m.ÖNK kiadás'!P27</f>
        <v>57410165</v>
      </c>
      <c r="P25" s="251">
        <f>'4.sz.m.ÖNK kiadás'!Q27</f>
        <v>0</v>
      </c>
      <c r="Q25" s="251">
        <f>'4.sz.m.ÖNK kiadás'!R27</f>
        <v>0</v>
      </c>
      <c r="R25" s="308">
        <v>0</v>
      </c>
      <c r="S25" s="308">
        <v>0</v>
      </c>
      <c r="T25" s="251"/>
      <c r="U25" s="251"/>
      <c r="V25" s="251"/>
      <c r="W25" s="251"/>
      <c r="X25" s="308">
        <v>0</v>
      </c>
      <c r="Y25" s="251"/>
      <c r="Z25" s="251"/>
      <c r="AA25" s="251"/>
      <c r="AB25" s="251"/>
      <c r="AC25" s="251"/>
      <c r="AD25" s="748"/>
    </row>
    <row r="26" spans="1:30" s="8" customFormat="1" ht="33" customHeight="1">
      <c r="A26" s="84"/>
      <c r="B26" s="62" t="s">
        <v>41</v>
      </c>
      <c r="C26" s="1254" t="s">
        <v>265</v>
      </c>
      <c r="D26" s="1254"/>
      <c r="E26" s="308">
        <v>0</v>
      </c>
      <c r="F26" s="308">
        <v>0</v>
      </c>
      <c r="G26" s="308">
        <v>0</v>
      </c>
      <c r="H26" s="308">
        <v>0</v>
      </c>
      <c r="I26" s="308">
        <v>0</v>
      </c>
      <c r="J26" s="308">
        <v>0</v>
      </c>
      <c r="K26" s="308">
        <v>0</v>
      </c>
      <c r="L26" s="308">
        <v>0</v>
      </c>
      <c r="M26" s="251"/>
      <c r="N26" s="251"/>
      <c r="O26" s="251"/>
      <c r="P26" s="251"/>
      <c r="Q26" s="688"/>
      <c r="R26" s="308">
        <v>0</v>
      </c>
      <c r="S26" s="308">
        <v>0</v>
      </c>
      <c r="T26" s="251"/>
      <c r="U26" s="251"/>
      <c r="V26" s="251"/>
      <c r="W26" s="251"/>
      <c r="X26" s="308">
        <v>0</v>
      </c>
      <c r="Y26" s="251"/>
      <c r="Z26" s="251"/>
      <c r="AA26" s="251"/>
      <c r="AB26" s="251"/>
      <c r="AC26" s="251"/>
      <c r="AD26" s="748"/>
    </row>
    <row r="27" spans="1:30" s="8" customFormat="1" ht="33" customHeight="1" thickBot="1">
      <c r="A27" s="90"/>
      <c r="B27" s="76" t="s">
        <v>64</v>
      </c>
      <c r="C27" s="91" t="s">
        <v>97</v>
      </c>
      <c r="D27" s="91"/>
      <c r="E27" s="308">
        <v>0</v>
      </c>
      <c r="F27" s="308">
        <v>0</v>
      </c>
      <c r="G27" s="308">
        <v>0</v>
      </c>
      <c r="H27" s="308">
        <v>0</v>
      </c>
      <c r="I27" s="308">
        <v>0</v>
      </c>
      <c r="J27" s="308">
        <v>0</v>
      </c>
      <c r="K27" s="308">
        <v>0</v>
      </c>
      <c r="L27" s="308">
        <v>0</v>
      </c>
      <c r="M27" s="251"/>
      <c r="N27" s="251"/>
      <c r="O27" s="251"/>
      <c r="P27" s="251"/>
      <c r="Q27" s="688"/>
      <c r="R27" s="308">
        <v>0</v>
      </c>
      <c r="S27" s="308">
        <v>0</v>
      </c>
      <c r="T27" s="251"/>
      <c r="U27" s="251"/>
      <c r="V27" s="251"/>
      <c r="W27" s="251"/>
      <c r="X27" s="308">
        <v>0</v>
      </c>
      <c r="Y27" s="251"/>
      <c r="Z27" s="251"/>
      <c r="AA27" s="251"/>
      <c r="AB27" s="251"/>
      <c r="AC27" s="251"/>
      <c r="AD27" s="748"/>
    </row>
    <row r="28" spans="1:30" s="8" customFormat="1" ht="33" customHeight="1" thickBot="1">
      <c r="A28" s="51" t="s">
        <v>10</v>
      </c>
      <c r="B28" s="77" t="s">
        <v>98</v>
      </c>
      <c r="C28" s="77"/>
      <c r="D28" s="77"/>
      <c r="E28" s="310">
        <v>0</v>
      </c>
      <c r="F28" s="310">
        <v>0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0">
        <v>0</v>
      </c>
      <c r="M28" s="311">
        <v>0</v>
      </c>
      <c r="N28" s="311">
        <v>0</v>
      </c>
      <c r="O28" s="311">
        <v>0</v>
      </c>
      <c r="P28" s="311"/>
      <c r="Q28" s="689"/>
      <c r="R28" s="310">
        <v>0</v>
      </c>
      <c r="S28" s="310">
        <v>0</v>
      </c>
      <c r="T28" s="311"/>
      <c r="U28" s="311"/>
      <c r="V28" s="311"/>
      <c r="W28" s="311"/>
      <c r="X28" s="310">
        <v>0</v>
      </c>
      <c r="Y28" s="311"/>
      <c r="Z28" s="311"/>
      <c r="AA28" s="311"/>
      <c r="AB28" s="311"/>
      <c r="AC28" s="311"/>
      <c r="AD28" s="750"/>
    </row>
    <row r="29" spans="1:30" s="8" customFormat="1" ht="33" customHeight="1" thickBot="1">
      <c r="A29" s="71" t="s">
        <v>11</v>
      </c>
      <c r="B29" s="1210" t="s">
        <v>99</v>
      </c>
      <c r="C29" s="1210"/>
      <c r="D29" s="1210"/>
      <c r="E29" s="307">
        <f aca="true" t="shared" si="9" ref="E29:P29">E5+E16+E24+E28</f>
        <v>915625767</v>
      </c>
      <c r="F29" s="307">
        <f t="shared" si="9"/>
        <v>902173540</v>
      </c>
      <c r="G29" s="307">
        <f t="shared" si="9"/>
        <v>0</v>
      </c>
      <c r="H29" s="307">
        <f t="shared" si="9"/>
        <v>0</v>
      </c>
      <c r="I29" s="307">
        <f t="shared" si="9"/>
        <v>57410165</v>
      </c>
      <c r="J29" s="307">
        <f t="shared" si="9"/>
        <v>0</v>
      </c>
      <c r="K29" s="307">
        <f t="shared" si="9"/>
        <v>880310005</v>
      </c>
      <c r="L29" s="307">
        <f>L5+L16+L24+L28</f>
        <v>858897999</v>
      </c>
      <c r="M29" s="249">
        <f t="shared" si="9"/>
        <v>389645762</v>
      </c>
      <c r="N29" s="249">
        <f t="shared" si="9"/>
        <v>0</v>
      </c>
      <c r="O29" s="249" t="e">
        <f t="shared" si="9"/>
        <v>#REF!</v>
      </c>
      <c r="P29" s="249" t="e">
        <f t="shared" si="9"/>
        <v>#REF!</v>
      </c>
      <c r="Q29" s="682" t="e">
        <f>#REF!/N29</f>
        <v>#REF!</v>
      </c>
      <c r="R29" s="307">
        <f aca="true" t="shared" si="10" ref="R29:AD29">R5+R16+R24+R28</f>
        <v>35315762</v>
      </c>
      <c r="S29" s="307">
        <f>S5+S16+S24+S28</f>
        <v>43275541</v>
      </c>
      <c r="T29" s="249">
        <f>T5+T16+T24+T28</f>
        <v>4195548</v>
      </c>
      <c r="U29" s="249">
        <f t="shared" si="10"/>
        <v>0</v>
      </c>
      <c r="V29" s="249">
        <f t="shared" si="10"/>
        <v>8082866</v>
      </c>
      <c r="W29" s="249">
        <f>W5+W16+W24+W28</f>
        <v>1759222</v>
      </c>
      <c r="X29" s="307">
        <f t="shared" si="10"/>
        <v>7923383</v>
      </c>
      <c r="Y29" s="249">
        <f t="shared" si="10"/>
        <v>7923383</v>
      </c>
      <c r="Z29" s="249">
        <f t="shared" si="10"/>
        <v>0</v>
      </c>
      <c r="AA29" s="249">
        <f t="shared" si="10"/>
        <v>0</v>
      </c>
      <c r="AB29" s="249">
        <f t="shared" si="10"/>
        <v>5610894</v>
      </c>
      <c r="AC29" s="249">
        <f t="shared" si="10"/>
        <v>0</v>
      </c>
      <c r="AD29" s="747">
        <f t="shared" si="10"/>
        <v>0</v>
      </c>
    </row>
    <row r="30" spans="1:30" s="8" customFormat="1" ht="33" customHeight="1" thickBot="1">
      <c r="A30" s="49" t="s">
        <v>12</v>
      </c>
      <c r="B30" s="1257" t="s">
        <v>204</v>
      </c>
      <c r="C30" s="1257"/>
      <c r="D30" s="1257"/>
      <c r="E30" s="312">
        <f aca="true" t="shared" si="11" ref="E30:P30">SUM(E31:E33)</f>
        <v>10912646</v>
      </c>
      <c r="F30" s="312">
        <f t="shared" si="11"/>
        <v>10912646</v>
      </c>
      <c r="G30" s="312">
        <f t="shared" si="11"/>
        <v>0</v>
      </c>
      <c r="H30" s="312">
        <f>SUM(H31:H33)</f>
        <v>0</v>
      </c>
      <c r="I30" s="312">
        <f>SUM(I31:I33)</f>
        <v>0</v>
      </c>
      <c r="J30" s="312">
        <f>SUM(J31:J33)</f>
        <v>0</v>
      </c>
      <c r="K30" s="312">
        <f t="shared" si="11"/>
        <v>10912646</v>
      </c>
      <c r="L30" s="312">
        <f>SUM(L31:L33)</f>
        <v>10912646</v>
      </c>
      <c r="M30" s="74">
        <f t="shared" si="11"/>
        <v>0</v>
      </c>
      <c r="N30" s="74">
        <f t="shared" si="11"/>
        <v>0</v>
      </c>
      <c r="O30" s="74">
        <f t="shared" si="11"/>
        <v>0</v>
      </c>
      <c r="P30" s="74">
        <f t="shared" si="11"/>
        <v>0</v>
      </c>
      <c r="Q30" s="682" t="e">
        <f>#REF!/N30</f>
        <v>#REF!</v>
      </c>
      <c r="R30" s="312"/>
      <c r="S30" s="312"/>
      <c r="T30" s="74"/>
      <c r="U30" s="74"/>
      <c r="V30" s="74"/>
      <c r="W30" s="74"/>
      <c r="X30" s="312"/>
      <c r="Y30" s="74"/>
      <c r="Z30" s="74"/>
      <c r="AA30" s="74"/>
      <c r="AB30" s="74"/>
      <c r="AC30" s="74"/>
      <c r="AD30" s="751"/>
    </row>
    <row r="31" spans="1:30" s="5" customFormat="1" ht="33" customHeight="1">
      <c r="A31" s="93"/>
      <c r="B31" s="75" t="s">
        <v>44</v>
      </c>
      <c r="C31" s="1211" t="s">
        <v>267</v>
      </c>
      <c r="D31" s="1211"/>
      <c r="E31" s="313">
        <f>'4.sz.m.ÖNK kiadás'!E34</f>
        <v>0</v>
      </c>
      <c r="F31" s="313">
        <f>'4.sz.m.ÖNK kiadás'!F34</f>
        <v>0</v>
      </c>
      <c r="G31" s="313">
        <f>'4.sz.m.ÖNK kiadás'!G34</f>
        <v>0</v>
      </c>
      <c r="H31" s="313">
        <f>'4.sz.m.ÖNK kiadás'!H34</f>
        <v>0</v>
      </c>
      <c r="I31" s="313">
        <f>'4.sz.m.ÖNK kiadás'!I34</f>
        <v>0</v>
      </c>
      <c r="J31" s="313">
        <f>'4.sz.m.ÖNK kiadás'!J34</f>
        <v>0</v>
      </c>
      <c r="K31" s="313">
        <f>'4.sz.m.ÖNK kiadás'!L34</f>
        <v>0</v>
      </c>
      <c r="L31" s="313">
        <f>'4.sz.m.ÖNK kiadás'!M34</f>
        <v>0</v>
      </c>
      <c r="M31" s="92">
        <f>'4.sz.m.ÖNK kiadás'!N34</f>
        <v>0</v>
      </c>
      <c r="N31" s="251">
        <f>'4.sz.m.ÖNK kiadás'!O34</f>
        <v>0</v>
      </c>
      <c r="O31" s="251">
        <f>'4.sz.m.ÖNK kiadás'!P34</f>
        <v>0</v>
      </c>
      <c r="P31" s="92">
        <f>J31</f>
        <v>0</v>
      </c>
      <c r="Q31" s="688"/>
      <c r="R31" s="308">
        <v>0</v>
      </c>
      <c r="S31" s="308">
        <v>0</v>
      </c>
      <c r="T31" s="251"/>
      <c r="U31" s="251"/>
      <c r="V31" s="251"/>
      <c r="W31" s="251"/>
      <c r="X31" s="308">
        <v>0</v>
      </c>
      <c r="Y31" s="251"/>
      <c r="Z31" s="251"/>
      <c r="AA31" s="251"/>
      <c r="AB31" s="251"/>
      <c r="AC31" s="251"/>
      <c r="AD31" s="748"/>
    </row>
    <row r="32" spans="1:30" s="5" customFormat="1" ht="33" customHeight="1">
      <c r="A32" s="89"/>
      <c r="B32" s="76" t="s">
        <v>310</v>
      </c>
      <c r="C32" s="1256" t="s">
        <v>438</v>
      </c>
      <c r="D32" s="1256"/>
      <c r="E32" s="341">
        <f>'4.sz.m.ÖNK kiadás'!E35</f>
        <v>0</v>
      </c>
      <c r="F32" s="341">
        <f>'4.sz.m.ÖNK kiadás'!F35</f>
        <v>0</v>
      </c>
      <c r="G32" s="341">
        <f>'4.sz.m.ÖNK kiadás'!G35</f>
        <v>0</v>
      </c>
      <c r="H32" s="341">
        <f>'4.sz.m.ÖNK kiadás'!H35</f>
        <v>0</v>
      </c>
      <c r="I32" s="341">
        <f>'4.sz.m.ÖNK kiadás'!I35</f>
        <v>0</v>
      </c>
      <c r="J32" s="341">
        <f>'4.sz.m.ÖNK kiadás'!J35</f>
        <v>0</v>
      </c>
      <c r="K32" s="341">
        <f>'4.sz.m.ÖNK kiadás'!L35</f>
        <v>0</v>
      </c>
      <c r="L32" s="341">
        <f>'4.sz.m.ÖNK kiadás'!M35</f>
        <v>0</v>
      </c>
      <c r="M32" s="342">
        <f>'4.sz.m.ÖNK kiadás'!N35</f>
        <v>0</v>
      </c>
      <c r="N32" s="92">
        <f>'4.sz.m.ÖNK kiadás'!O35</f>
        <v>0</v>
      </c>
      <c r="O32" s="92">
        <f>'4.sz.m.ÖNK kiadás'!P35</f>
        <v>0</v>
      </c>
      <c r="P32" s="92">
        <f>J32</f>
        <v>0</v>
      </c>
      <c r="Q32" s="691"/>
      <c r="R32" s="313">
        <v>0</v>
      </c>
      <c r="S32" s="313">
        <v>0</v>
      </c>
      <c r="T32" s="92"/>
      <c r="U32" s="92"/>
      <c r="V32" s="92"/>
      <c r="W32" s="92"/>
      <c r="X32" s="313">
        <v>0</v>
      </c>
      <c r="Y32" s="92"/>
      <c r="Z32" s="92"/>
      <c r="AA32" s="92"/>
      <c r="AB32" s="92"/>
      <c r="AC32" s="92"/>
      <c r="AD32" s="752"/>
    </row>
    <row r="33" spans="1:30" s="5" customFormat="1" ht="33" customHeight="1" thickBot="1">
      <c r="A33" s="89"/>
      <c r="B33" s="76" t="s">
        <v>414</v>
      </c>
      <c r="C33" s="1260" t="s">
        <v>413</v>
      </c>
      <c r="D33" s="1260"/>
      <c r="E33" s="313">
        <f>'4.sz.m.ÖNK kiadás'!E37</f>
        <v>10912646</v>
      </c>
      <c r="F33" s="313">
        <f>'4.sz.m.ÖNK kiadás'!F37</f>
        <v>10912646</v>
      </c>
      <c r="G33" s="313">
        <f>'4.sz.m.ÖNK kiadás'!G37</f>
        <v>0</v>
      </c>
      <c r="H33" s="313">
        <f>'4.sz.m.ÖNK kiadás'!H37</f>
        <v>0</v>
      </c>
      <c r="I33" s="313">
        <f>'4.sz.m.ÖNK kiadás'!I37</f>
        <v>0</v>
      </c>
      <c r="J33" s="313">
        <f>'4.sz.m.ÖNK kiadás'!J37</f>
        <v>0</v>
      </c>
      <c r="K33" s="313">
        <f>'4.sz.m.ÖNK kiadás'!L37</f>
        <v>10912646</v>
      </c>
      <c r="L33" s="313">
        <f>'4.sz.m.ÖNK kiadás'!M37</f>
        <v>10912646</v>
      </c>
      <c r="M33" s="92">
        <f>'4.sz.m.ÖNK kiadás'!N37</f>
        <v>0</v>
      </c>
      <c r="N33" s="92">
        <f>'4.sz.m.ÖNK kiadás'!O37</f>
        <v>0</v>
      </c>
      <c r="O33" s="92">
        <f>'4.sz.m.ÖNK kiadás'!P37</f>
        <v>0</v>
      </c>
      <c r="P33" s="92">
        <f>J33</f>
        <v>0</v>
      </c>
      <c r="Q33" s="688" t="e">
        <f>#REF!/N33</f>
        <v>#REF!</v>
      </c>
      <c r="R33" s="313">
        <v>0</v>
      </c>
      <c r="S33" s="313">
        <v>0</v>
      </c>
      <c r="T33" s="92"/>
      <c r="U33" s="92"/>
      <c r="V33" s="92"/>
      <c r="W33" s="92"/>
      <c r="X33" s="313">
        <v>0</v>
      </c>
      <c r="Y33" s="92"/>
      <c r="Z33" s="92"/>
      <c r="AA33" s="92"/>
      <c r="AB33" s="92"/>
      <c r="AC33" s="92"/>
      <c r="AD33" s="752"/>
    </row>
    <row r="34" spans="1:30" s="5" customFormat="1" ht="33" customHeight="1" thickBot="1">
      <c r="A34" s="326" t="s">
        <v>13</v>
      </c>
      <c r="B34" s="1261" t="s">
        <v>225</v>
      </c>
      <c r="C34" s="1261"/>
      <c r="D34" s="1261"/>
      <c r="E34" s="327">
        <f aca="true" t="shared" si="12" ref="E34:P34">E29+E30</f>
        <v>926538413</v>
      </c>
      <c r="F34" s="327">
        <f t="shared" si="12"/>
        <v>913086186</v>
      </c>
      <c r="G34" s="327">
        <f t="shared" si="12"/>
        <v>0</v>
      </c>
      <c r="H34" s="327">
        <f t="shared" si="12"/>
        <v>0</v>
      </c>
      <c r="I34" s="327">
        <f t="shared" si="12"/>
        <v>57410165</v>
      </c>
      <c r="J34" s="327">
        <f t="shared" si="12"/>
        <v>0</v>
      </c>
      <c r="K34" s="327">
        <f t="shared" si="12"/>
        <v>891222651</v>
      </c>
      <c r="L34" s="327">
        <f t="shared" si="12"/>
        <v>869810645</v>
      </c>
      <c r="M34" s="328">
        <f t="shared" si="12"/>
        <v>389645762</v>
      </c>
      <c r="N34" s="328">
        <f t="shared" si="12"/>
        <v>0</v>
      </c>
      <c r="O34" s="328" t="e">
        <f t="shared" si="12"/>
        <v>#REF!</v>
      </c>
      <c r="P34" s="328" t="e">
        <f t="shared" si="12"/>
        <v>#REF!</v>
      </c>
      <c r="Q34" s="692" t="e">
        <f>#REF!/N34</f>
        <v>#REF!</v>
      </c>
      <c r="R34" s="327">
        <f aca="true" t="shared" si="13" ref="R34:Z34">R29+R30</f>
        <v>35315762</v>
      </c>
      <c r="S34" s="327">
        <f>S29+S30</f>
        <v>43275541</v>
      </c>
      <c r="T34" s="328">
        <f>T29+T30</f>
        <v>4195548</v>
      </c>
      <c r="U34" s="328">
        <f>U29+U30</f>
        <v>0</v>
      </c>
      <c r="V34" s="328">
        <f>V29+V30</f>
        <v>8082866</v>
      </c>
      <c r="W34" s="328">
        <f>W29+W30</f>
        <v>1759222</v>
      </c>
      <c r="X34" s="327">
        <f t="shared" si="13"/>
        <v>7923383</v>
      </c>
      <c r="Y34" s="328">
        <f t="shared" si="13"/>
        <v>7923383</v>
      </c>
      <c r="Z34" s="328">
        <f t="shared" si="13"/>
        <v>0</v>
      </c>
      <c r="AA34" s="328">
        <f>AA29+AA30</f>
        <v>0</v>
      </c>
      <c r="AB34" s="328">
        <f>AB29+AB30</f>
        <v>5610894</v>
      </c>
      <c r="AC34" s="328">
        <f>AC29+AC30</f>
        <v>0</v>
      </c>
      <c r="AD34" s="753">
        <f>AD29+AD30</f>
        <v>0</v>
      </c>
    </row>
    <row r="35" spans="1:30" s="5" customFormat="1" ht="33" customHeight="1" hidden="1" thickBot="1">
      <c r="A35" s="1258" t="s">
        <v>226</v>
      </c>
      <c r="B35" s="1259"/>
      <c r="C35" s="1259"/>
      <c r="D35" s="1259"/>
      <c r="E35" s="382"/>
      <c r="F35" s="382"/>
      <c r="G35" s="382"/>
      <c r="H35" s="382"/>
      <c r="I35" s="382"/>
      <c r="J35" s="382"/>
      <c r="K35" s="382"/>
      <c r="L35" s="382"/>
      <c r="M35" s="329"/>
      <c r="N35" s="329"/>
      <c r="O35" s="329"/>
      <c r="P35" s="329"/>
      <c r="Q35" s="691"/>
      <c r="R35" s="382"/>
      <c r="S35" s="329"/>
      <c r="T35" s="329"/>
      <c r="U35" s="329"/>
      <c r="V35" s="329"/>
      <c r="W35" s="329"/>
      <c r="X35" s="382"/>
      <c r="Y35" s="329"/>
      <c r="Z35" s="329"/>
      <c r="AA35" s="329"/>
      <c r="AB35" s="329"/>
      <c r="AC35" s="329"/>
      <c r="AD35" s="752"/>
    </row>
    <row r="36" spans="1:30" s="5" customFormat="1" ht="33" customHeight="1" thickBot="1">
      <c r="A36" s="1209" t="s">
        <v>101</v>
      </c>
      <c r="B36" s="1210"/>
      <c r="C36" s="1210"/>
      <c r="D36" s="1210"/>
      <c r="E36" s="309">
        <f aca="true" t="shared" si="14" ref="E36:P36">E34+E35</f>
        <v>926538413</v>
      </c>
      <c r="F36" s="309">
        <f t="shared" si="14"/>
        <v>913086186</v>
      </c>
      <c r="G36" s="309">
        <f t="shared" si="14"/>
        <v>0</v>
      </c>
      <c r="H36" s="309">
        <f t="shared" si="14"/>
        <v>0</v>
      </c>
      <c r="I36" s="309">
        <f t="shared" si="14"/>
        <v>57410165</v>
      </c>
      <c r="J36" s="309">
        <f t="shared" si="14"/>
        <v>0</v>
      </c>
      <c r="K36" s="309">
        <f t="shared" si="14"/>
        <v>891222651</v>
      </c>
      <c r="L36" s="309">
        <f>L34+L35</f>
        <v>869810645</v>
      </c>
      <c r="M36" s="40">
        <f t="shared" si="14"/>
        <v>389645762</v>
      </c>
      <c r="N36" s="40">
        <f t="shared" si="14"/>
        <v>0</v>
      </c>
      <c r="O36" s="40" t="e">
        <f t="shared" si="14"/>
        <v>#REF!</v>
      </c>
      <c r="P36" s="40" t="e">
        <f t="shared" si="14"/>
        <v>#REF!</v>
      </c>
      <c r="Q36" s="686" t="e">
        <f>#REF!/N36</f>
        <v>#REF!</v>
      </c>
      <c r="R36" s="309">
        <f aca="true" t="shared" si="15" ref="R36:AD36">R34+R35</f>
        <v>35315762</v>
      </c>
      <c r="S36" s="40">
        <f t="shared" si="15"/>
        <v>43275541</v>
      </c>
      <c r="T36" s="40">
        <f>T34+T35</f>
        <v>4195548</v>
      </c>
      <c r="U36" s="40">
        <f t="shared" si="15"/>
        <v>0</v>
      </c>
      <c r="V36" s="40">
        <f t="shared" si="15"/>
        <v>8082866</v>
      </c>
      <c r="W36" s="40">
        <f>W34+W35</f>
        <v>1759222</v>
      </c>
      <c r="X36" s="309">
        <f t="shared" si="15"/>
        <v>7923383</v>
      </c>
      <c r="Y36" s="40">
        <f t="shared" si="15"/>
        <v>7923383</v>
      </c>
      <c r="Z36" s="40">
        <f t="shared" si="15"/>
        <v>0</v>
      </c>
      <c r="AA36" s="40">
        <f t="shared" si="15"/>
        <v>0</v>
      </c>
      <c r="AB36" s="40">
        <f t="shared" si="15"/>
        <v>5610894</v>
      </c>
      <c r="AC36" s="40">
        <f t="shared" si="15"/>
        <v>0</v>
      </c>
      <c r="AD36" s="749">
        <f t="shared" si="15"/>
        <v>0</v>
      </c>
    </row>
    <row r="37" spans="1:29" s="5" customFormat="1" ht="19.5" customHeight="1">
      <c r="A37" s="33"/>
      <c r="B37" s="78"/>
      <c r="C37" s="33"/>
      <c r="D37" s="33"/>
      <c r="E37" s="876" t="str">
        <f>IF(K36+R36=E36," ","HIBA-nincs egyenlőség")</f>
        <v> </v>
      </c>
      <c r="F37" s="876" t="str">
        <f>IF(L36+S36=F36," ","HIBA-nincs egyenlőség")</f>
        <v> </v>
      </c>
      <c r="G37" s="876" t="str">
        <f>IF(M36+T36=G36," ","HIBA-nincs egyenlőség")</f>
        <v>HIBA-nincs egyenlőség</v>
      </c>
      <c r="H37" s="876" t="str">
        <f>IF(N36+U36=H36," ","HIBA-nincs egyenlőség")</f>
        <v> </v>
      </c>
      <c r="I37" s="876"/>
      <c r="J37" s="876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384"/>
      <c r="Y37" s="384"/>
      <c r="Z37" s="384"/>
      <c r="AA37" s="384"/>
      <c r="AB37" s="384"/>
      <c r="AC37" s="384"/>
    </row>
    <row r="38" spans="1:29" s="5" customFormat="1" ht="19.5" customHeight="1">
      <c r="A38" s="33"/>
      <c r="B38" s="78"/>
      <c r="C38" s="33"/>
      <c r="D38" s="33"/>
      <c r="E38" s="6"/>
      <c r="F38" s="6"/>
      <c r="G38" s="6"/>
      <c r="H38" s="6"/>
      <c r="I38" s="6"/>
      <c r="J38" s="6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383"/>
      <c r="Y38" s="383"/>
      <c r="Z38" s="383"/>
      <c r="AA38" s="383"/>
      <c r="AB38" s="383"/>
      <c r="AC38" s="383"/>
    </row>
    <row r="39" spans="1:29" s="5" customFormat="1" ht="19.5" customHeight="1">
      <c r="A39" s="33"/>
      <c r="B39" s="78"/>
      <c r="C39" s="1246" t="s">
        <v>50</v>
      </c>
      <c r="D39" s="1246"/>
      <c r="E39" s="1246"/>
      <c r="F39" s="1246"/>
      <c r="G39" s="1246"/>
      <c r="H39" s="1246"/>
      <c r="I39" s="1246"/>
      <c r="J39" s="1246"/>
      <c r="K39" s="1246"/>
      <c r="L39" s="1246"/>
      <c r="M39" s="1246"/>
      <c r="N39" s="1246"/>
      <c r="O39" s="1246"/>
      <c r="P39" s="1246"/>
      <c r="Q39" s="1246"/>
      <c r="R39" s="1246"/>
      <c r="S39" s="254"/>
      <c r="T39" s="254"/>
      <c r="U39" s="254"/>
      <c r="V39" s="254"/>
      <c r="W39" s="254"/>
      <c r="X39" s="385"/>
      <c r="Y39" s="385"/>
      <c r="Z39" s="385"/>
      <c r="AA39" s="385"/>
      <c r="AB39" s="385"/>
      <c r="AC39" s="386"/>
    </row>
    <row r="40" spans="1:29" s="5" customFormat="1" ht="19.5" customHeight="1" thickBot="1">
      <c r="A40" s="215" t="s">
        <v>51</v>
      </c>
      <c r="B40" s="215"/>
      <c r="F40" s="194"/>
      <c r="G40" s="194"/>
      <c r="H40" s="194"/>
      <c r="I40" s="194"/>
      <c r="J40" s="194"/>
      <c r="K40" s="195"/>
      <c r="L40" s="195"/>
      <c r="M40" s="195"/>
      <c r="N40" s="195"/>
      <c r="O40" s="195"/>
      <c r="P40" s="195"/>
      <c r="Q40" s="195"/>
      <c r="R40" s="196">
        <v>0</v>
      </c>
      <c r="S40" s="196"/>
      <c r="T40" s="196"/>
      <c r="U40" s="196"/>
      <c r="V40" s="196"/>
      <c r="W40" s="196"/>
      <c r="X40" s="387"/>
      <c r="Y40" s="387"/>
      <c r="Z40" s="387"/>
      <c r="AA40" s="387"/>
      <c r="AB40" s="387"/>
      <c r="AC40" s="388"/>
    </row>
    <row r="41" spans="1:31" ht="52.5" customHeight="1" thickBot="1">
      <c r="A41" s="197">
        <v>1</v>
      </c>
      <c r="B41" s="1225" t="s">
        <v>150</v>
      </c>
      <c r="C41" s="1226"/>
      <c r="D41" s="1227"/>
      <c r="E41" s="214">
        <f>'1.sz.m-önk.össze.bev'!E58-'1 .sz.m.önk.össz.kiad.'!E29</f>
        <v>-293366907</v>
      </c>
      <c r="F41" s="214">
        <f>'1.sz.m-önk.össze.bev'!F58-'1 .sz.m.önk.össz.kiad.'!F29</f>
        <v>-293366907</v>
      </c>
      <c r="G41" s="214">
        <f>'1.sz.m-önk.össze.bev'!G58-'1 .sz.m.önk.össz.kiad.'!G29</f>
        <v>0</v>
      </c>
      <c r="H41" s="214">
        <f>'1.sz.m-önk.össze.bev'!H58-'1 .sz.m.önk.össz.kiad.'!H29</f>
        <v>0</v>
      </c>
      <c r="I41" s="214">
        <f>'1.sz.m-önk.össze.bev'!I58-'1 .sz.m.önk.össz.kiad.'!I29</f>
        <v>107850309</v>
      </c>
      <c r="J41" s="214">
        <f>'1.sz.m-önk.össze.bev'!J58-'1 .sz.m.önk.össz.kiad.'!J29</f>
        <v>0</v>
      </c>
      <c r="K41" s="214">
        <f>'1.sz.m-önk.össze.bev'!K58-'1 .sz.m.önk.össz.kiad.'!K29</f>
        <v>-277731113</v>
      </c>
      <c r="L41" s="214">
        <f>'1.sz.m-önk.össze.bev'!L58-'1 .sz.m.önk.össz.kiad.'!L29</f>
        <v>-277731113</v>
      </c>
      <c r="M41" s="214">
        <f>'1.sz.m-önk.össze.bev'!M58-'1 .sz.m.önk.össz.kiad.'!M29</f>
        <v>-487793713</v>
      </c>
      <c r="N41" s="214">
        <f>'1.sz.m-önk.össze.bev'!N58-'1 .sz.m.önk.össz.kiad.'!N29</f>
        <v>-28681758</v>
      </c>
      <c r="O41" s="214" t="e">
        <f>'1.sz.m-önk.össze.bev'!O58-'1 .sz.m.önk.össz.kiad.'!O29</f>
        <v>#REF!</v>
      </c>
      <c r="P41" s="214" t="e">
        <f>'1.sz.m-önk.össze.bev'!P58-'1 .sz.m.önk.össz.kiad.'!P29</f>
        <v>#REF!</v>
      </c>
      <c r="Q41" s="214" t="e">
        <f>'1.sz.m-önk.össze.bev'!Q58-'1 .sz.m.önk.össz.kiad.'!Q29</f>
        <v>#REF!</v>
      </c>
      <c r="R41" s="214">
        <f>'1.sz.m-önk.össze.bev'!R58-'1 .sz.m.önk.össz.kiad.'!R29</f>
        <v>-15635794</v>
      </c>
      <c r="S41" s="214">
        <f>'1.sz.m-önk.össze.bev'!S58-'1 .sz.m.önk.össz.kiad.'!S29</f>
        <v>-15635794</v>
      </c>
      <c r="T41" s="214">
        <f>'1.sz.m-önk.össze.bev'!T58-'1 .sz.m.önk.össz.kiad.'!T29</f>
        <v>111418080</v>
      </c>
      <c r="U41" s="214">
        <f>'1.sz.m-önk.össze.bev'!U58-'1 .sz.m.önk.össz.kiad.'!U29</f>
        <v>123629759</v>
      </c>
      <c r="V41" s="214">
        <f>'1.sz.m-önk.össze.bev'!V58-'1 .sz.m.önk.össz.kiad.'!V29</f>
        <v>8</v>
      </c>
      <c r="W41" s="214">
        <f>'1.sz.m-önk.össze.bev'!W58-'1 .sz.m.önk.össz.kiad.'!W29</f>
        <v>18391409</v>
      </c>
      <c r="X41" s="214">
        <f>'1.sz.m-önk.össze.bev'!X58-'1 .sz.m.önk.össz.kiad.'!X29</f>
        <v>0</v>
      </c>
      <c r="Y41" s="214">
        <f>'1.sz.m-önk.össze.bev'!Y58-'1 .sz.m.önk.össz.kiad.'!Y29</f>
        <v>0</v>
      </c>
      <c r="Z41" s="214">
        <f>'1.sz.m-önk.össze.bev'!Z58-'1 .sz.m.önk.össz.kiad.'!Z29</f>
        <v>5776781</v>
      </c>
      <c r="AA41" s="214">
        <f>'1.sz.m-önk.össze.bev'!AA58-'1 .sz.m.önk.össz.kiad.'!AA29</f>
        <v>5776781</v>
      </c>
      <c r="AB41" s="214">
        <f>'1.sz.m-önk.össze.bev'!AB58-'1 .sz.m.önk.össz.kiad.'!AB29</f>
        <v>0</v>
      </c>
      <c r="AC41" s="214">
        <f>'1.sz.m-önk.össze.bev'!AC58-'1 .sz.m.önk.össz.kiad.'!AC29</f>
        <v>5610894</v>
      </c>
      <c r="AD41" s="214">
        <f>'1.sz.m-önk.össze.bev'!AD58-'1 .sz.m.önk.össz.kiad.'!AD29</f>
        <v>5610894</v>
      </c>
      <c r="AE41" s="214">
        <f>'1.sz.m-önk.össze.bev'!AE58-'1 .sz.m.önk.össz.kiad.'!AE29</f>
        <v>0</v>
      </c>
    </row>
    <row r="42" spans="1:23" ht="15.75">
      <c r="A42" s="80"/>
      <c r="B42" s="32"/>
      <c r="C42" s="194"/>
      <c r="D42" s="194"/>
      <c r="E42" s="198"/>
      <c r="F42" s="198"/>
      <c r="G42" s="198"/>
      <c r="H42" s="198"/>
      <c r="I42" s="198"/>
      <c r="J42" s="198"/>
      <c r="K42" s="195"/>
      <c r="L42" s="195"/>
      <c r="M42" s="195"/>
      <c r="N42" s="195"/>
      <c r="O42" s="195"/>
      <c r="P42" s="195"/>
      <c r="Q42" s="195"/>
      <c r="R42" s="196">
        <v>0</v>
      </c>
      <c r="S42" s="196"/>
      <c r="T42" s="196"/>
      <c r="U42" s="196"/>
      <c r="V42" s="196"/>
      <c r="W42" s="196"/>
    </row>
    <row r="43" spans="1:23" ht="15.75" customHeight="1">
      <c r="A43" s="80"/>
      <c r="B43" s="32"/>
      <c r="C43" s="1224" t="s">
        <v>151</v>
      </c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252"/>
      <c r="T43" s="252"/>
      <c r="U43" s="252"/>
      <c r="V43" s="252"/>
      <c r="W43" s="252"/>
    </row>
    <row r="44" spans="1:23" ht="16.5" thickBot="1">
      <c r="A44" s="215" t="s">
        <v>152</v>
      </c>
      <c r="B44" s="32"/>
      <c r="C44" s="1228"/>
      <c r="D44" s="1228"/>
      <c r="E44" s="194"/>
      <c r="F44" s="194"/>
      <c r="G44" s="194"/>
      <c r="H44" s="194"/>
      <c r="I44" s="194"/>
      <c r="J44" s="194"/>
      <c r="K44" s="195"/>
      <c r="L44" s="195"/>
      <c r="M44" s="195"/>
      <c r="N44" s="195"/>
      <c r="O44" s="195"/>
      <c r="P44" s="195"/>
      <c r="Q44" s="195"/>
      <c r="R44" s="196">
        <v>0</v>
      </c>
      <c r="S44" s="196"/>
      <c r="T44" s="196"/>
      <c r="U44" s="196"/>
      <c r="V44" s="196"/>
      <c r="W44" s="196"/>
    </row>
    <row r="45" spans="1:30" ht="27.75" customHeight="1">
      <c r="A45" s="210" t="s">
        <v>26</v>
      </c>
      <c r="B45" s="1235" t="s">
        <v>566</v>
      </c>
      <c r="C45" s="1236"/>
      <c r="D45" s="1237"/>
      <c r="E45" s="229">
        <f>'1.sz.m-önk.össze.bev'!E62-'2.sz.m.összehasonlító'!B28</f>
        <v>177159235</v>
      </c>
      <c r="F45" s="229">
        <f>'1.sz.m-önk.össze.bev'!F62-'2.sz.m.összehasonlító'!C28</f>
        <v>177159235</v>
      </c>
      <c r="G45" s="229">
        <f>'1.sz.m-önk.össze.bev'!G62-'2.sz.m.összehasonlító'!D28</f>
        <v>-297693855</v>
      </c>
      <c r="H45" s="229">
        <f>'1.sz.m-önk.össze.bev'!H62-'2.sz.m.összehasonlító'!E28</f>
        <v>-297693855</v>
      </c>
      <c r="I45" s="229">
        <f>'1.sz.m-önk.össze.bev'!I62-'2.sz.m.összehasonlító'!F28</f>
        <v>-66329503</v>
      </c>
      <c r="J45" s="229">
        <f>'1.sz.m-önk.össze.bev'!J62-'2.sz.m.összehasonlító'!G28</f>
        <v>0</v>
      </c>
      <c r="K45" s="229">
        <f>'1.sz.m-önk.össze.bev'!K62-'2.sz.m.összehasonlító'!B28+R46</f>
        <v>164105960</v>
      </c>
      <c r="L45" s="229">
        <f>'1.sz.m-önk.össze.bev'!L62-'2.sz.m.összehasonlító'!C28</f>
        <v>161523441</v>
      </c>
      <c r="M45" s="229">
        <f>'1.sz.m-önk.össze.bev'!M62-'2.sz.m.összehasonlító'!D28</f>
        <v>-297693855</v>
      </c>
      <c r="N45" s="229">
        <f>'1.sz.m-önk.össze.bev'!N62-'2.sz.m.összehasonlító'!E28</f>
        <v>-297693855</v>
      </c>
      <c r="O45" s="229">
        <f>'1.sz.m-önk.össze.bev'!O62-'2.sz.m.összehasonlító'!F28</f>
        <v>-66329503</v>
      </c>
      <c r="P45" s="229">
        <f>'1.sz.m-önk.össze.bev'!P62-'2.sz.m.összehasonlító'!G28</f>
        <v>0</v>
      </c>
      <c r="Q45" s="229" t="e">
        <f>'1.sz.m-önk.össze.bev'!Q62</f>
        <v>#DIV/0!</v>
      </c>
      <c r="R45" s="229">
        <f>'1.sz.m-önk.össze.bev'!R62-R46</f>
        <v>13053275</v>
      </c>
      <c r="S45" s="229">
        <f>'1.sz.m-önk.össze.bev'!S62-S46</f>
        <v>13053275</v>
      </c>
      <c r="T45" s="229">
        <f>'1.sz.m-önk.össze.bev'!T62</f>
        <v>0</v>
      </c>
      <c r="U45" s="229">
        <f>'1.sz.m-önk.össze.bev'!U62</f>
        <v>0</v>
      </c>
      <c r="V45" s="229">
        <f>'1.sz.m-önk.össze.bev'!V62</f>
        <v>0</v>
      </c>
      <c r="W45" s="229">
        <f>'1.sz.m-önk.össze.bev'!W62</f>
        <v>0</v>
      </c>
      <c r="X45" s="229">
        <f>'1.sz.m-önk.össze.bev'!X62</f>
        <v>0</v>
      </c>
      <c r="Y45" s="229">
        <f>'1.sz.m-önk.össze.bev'!Y62</f>
        <v>0</v>
      </c>
      <c r="Z45" s="229">
        <f>'1.sz.m-önk.össze.bev'!Z62</f>
        <v>0</v>
      </c>
      <c r="AA45" s="229">
        <f>'1.sz.m-önk.össze.bev'!AA62</f>
        <v>0</v>
      </c>
      <c r="AB45" s="229">
        <f>'1.sz.m-önk.össze.bev'!AB62</f>
        <v>0</v>
      </c>
      <c r="AC45" s="229">
        <f>'1.sz.m-önk.össze.bev'!AC62</f>
        <v>0</v>
      </c>
      <c r="AD45" s="229">
        <f>'1.sz.m-önk.össze.bev'!AD62</f>
        <v>0</v>
      </c>
    </row>
    <row r="46" spans="1:30" ht="27.75" customHeight="1">
      <c r="A46" s="211" t="s">
        <v>27</v>
      </c>
      <c r="B46" s="1229" t="s">
        <v>567</v>
      </c>
      <c r="C46" s="1230"/>
      <c r="D46" s="1231"/>
      <c r="E46" s="230">
        <f>'2.sz.m.összehasonlító'!B28</f>
        <v>127120318</v>
      </c>
      <c r="F46" s="230">
        <f>'2.sz.m.összehasonlító'!C28</f>
        <v>127120318</v>
      </c>
      <c r="G46" s="230">
        <f>'2.sz.m.összehasonlító'!D28</f>
        <v>297693855</v>
      </c>
      <c r="H46" s="230">
        <f>'2.sz.m.összehasonlító'!E28</f>
        <v>297693855</v>
      </c>
      <c r="I46" s="230">
        <f>'2.sz.m.összehasonlító'!F28</f>
        <v>66329503</v>
      </c>
      <c r="J46" s="230">
        <f>'2.sz.m.összehasonlító'!G28</f>
        <v>0</v>
      </c>
      <c r="K46" s="230">
        <f>'2.sz.m.összehasonlító'!B28-R46</f>
        <v>124537799</v>
      </c>
      <c r="L46" s="230">
        <f>'2.sz.m.összehasonlító'!C28</f>
        <v>127120318</v>
      </c>
      <c r="M46" s="230">
        <f>'2.sz.m.összehasonlító'!D28</f>
        <v>297693855</v>
      </c>
      <c r="N46" s="230">
        <f>'2.sz.m.összehasonlító'!E28</f>
        <v>297693855</v>
      </c>
      <c r="O46" s="230">
        <f>'2.sz.m.összehasonlító'!F28</f>
        <v>66329503</v>
      </c>
      <c r="P46" s="230">
        <f>'2.sz.m.összehasonlító'!G28</f>
        <v>0</v>
      </c>
      <c r="Q46" s="230"/>
      <c r="R46" s="230">
        <f>+'6.a.sz.m.fejlesztés (4)'!L9+'6.a.sz.m.fejlesztés (4)'!L33</f>
        <v>2582519</v>
      </c>
      <c r="S46" s="230">
        <f>+'6.a.sz.m.fejlesztés (4)'!M9+'6.a.sz.m.fejlesztés (4)'!M33</f>
        <v>2582519</v>
      </c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</row>
    <row r="47" spans="1:30" ht="27.75" customHeight="1" thickBot="1">
      <c r="A47" s="212" t="s">
        <v>9</v>
      </c>
      <c r="B47" s="1232" t="s">
        <v>568</v>
      </c>
      <c r="C47" s="1233"/>
      <c r="D47" s="1234"/>
      <c r="E47" s="228">
        <f aca="true" t="shared" si="16" ref="E47:L47">E45+E46</f>
        <v>304279553</v>
      </c>
      <c r="F47" s="228">
        <f t="shared" si="16"/>
        <v>304279553</v>
      </c>
      <c r="G47" s="228">
        <f>G45+G46</f>
        <v>0</v>
      </c>
      <c r="H47" s="228">
        <f>H45+H46</f>
        <v>0</v>
      </c>
      <c r="I47" s="228">
        <f>I45+I46</f>
        <v>0</v>
      </c>
      <c r="J47" s="228">
        <f>J45+J46</f>
        <v>0</v>
      </c>
      <c r="K47" s="228">
        <f t="shared" si="16"/>
        <v>288643759</v>
      </c>
      <c r="L47" s="228">
        <f t="shared" si="16"/>
        <v>288643759</v>
      </c>
      <c r="M47" s="228">
        <f>M45+M46</f>
        <v>0</v>
      </c>
      <c r="N47" s="228">
        <f aca="true" t="shared" si="17" ref="N47:AC47">N45+N46</f>
        <v>0</v>
      </c>
      <c r="O47" s="228">
        <f>O45+O46</f>
        <v>0</v>
      </c>
      <c r="P47" s="228">
        <f>P45+P46</f>
        <v>0</v>
      </c>
      <c r="Q47" s="228" t="e">
        <f t="shared" si="17"/>
        <v>#DIV/0!</v>
      </c>
      <c r="R47" s="228">
        <f t="shared" si="17"/>
        <v>15635794</v>
      </c>
      <c r="S47" s="228">
        <f t="shared" si="17"/>
        <v>15635794</v>
      </c>
      <c r="T47" s="228">
        <f t="shared" si="17"/>
        <v>0</v>
      </c>
      <c r="U47" s="228">
        <f t="shared" si="17"/>
        <v>0</v>
      </c>
      <c r="V47" s="228">
        <f t="shared" si="17"/>
        <v>0</v>
      </c>
      <c r="W47" s="228">
        <f t="shared" si="17"/>
        <v>0</v>
      </c>
      <c r="X47" s="228">
        <f t="shared" si="17"/>
        <v>0</v>
      </c>
      <c r="Y47" s="228">
        <f t="shared" si="17"/>
        <v>0</v>
      </c>
      <c r="Z47" s="228">
        <f t="shared" si="17"/>
        <v>0</v>
      </c>
      <c r="AA47" s="228">
        <f t="shared" si="17"/>
        <v>0</v>
      </c>
      <c r="AB47" s="228">
        <f t="shared" si="17"/>
        <v>0</v>
      </c>
      <c r="AC47" s="228">
        <f t="shared" si="17"/>
        <v>0</v>
      </c>
      <c r="AD47" s="228">
        <f>AD45+AD46</f>
        <v>0</v>
      </c>
    </row>
    <row r="48" spans="1:24" ht="15.75">
      <c r="A48" s="80"/>
      <c r="B48" s="32"/>
      <c r="C48" s="199"/>
      <c r="D48" s="200"/>
      <c r="E48" s="201"/>
      <c r="F48" s="201"/>
      <c r="G48" s="201"/>
      <c r="H48" s="201"/>
      <c r="I48" s="201"/>
      <c r="J48" s="201"/>
      <c r="K48" s="195"/>
      <c r="L48" s="195"/>
      <c r="M48" s="195"/>
      <c r="N48" s="195"/>
      <c r="O48" s="195"/>
      <c r="P48" s="195"/>
      <c r="Q48" s="195"/>
      <c r="R48" s="196"/>
      <c r="S48" s="196"/>
      <c r="T48" s="196"/>
      <c r="U48" s="196"/>
      <c r="V48" s="196"/>
      <c r="W48" s="196"/>
      <c r="X48" s="1"/>
    </row>
    <row r="49" spans="1:23" ht="15.75" customHeight="1">
      <c r="A49" s="80"/>
      <c r="B49" s="32"/>
      <c r="C49" s="1224" t="s">
        <v>153</v>
      </c>
      <c r="D49" s="1224"/>
      <c r="E49" s="1224"/>
      <c r="F49" s="1224"/>
      <c r="G49" s="1224"/>
      <c r="H49" s="1224"/>
      <c r="I49" s="1224"/>
      <c r="J49" s="1224"/>
      <c r="K49" s="1224"/>
      <c r="L49" s="1224"/>
      <c r="M49" s="1224"/>
      <c r="N49" s="1224"/>
      <c r="O49" s="1224"/>
      <c r="P49" s="1224"/>
      <c r="Q49" s="1224"/>
      <c r="R49" s="1224"/>
      <c r="S49" s="252"/>
      <c r="T49" s="252"/>
      <c r="U49" s="252"/>
      <c r="V49" s="252"/>
      <c r="W49" s="252"/>
    </row>
    <row r="50" spans="1:23" ht="16.5" thickBot="1">
      <c r="A50" s="215" t="s">
        <v>154</v>
      </c>
      <c r="B50" s="215"/>
      <c r="C50" s="1262"/>
      <c r="D50" s="1262"/>
      <c r="E50" s="194"/>
      <c r="F50" s="194"/>
      <c r="G50" s="194"/>
      <c r="H50" s="194"/>
      <c r="I50" s="194"/>
      <c r="J50" s="194"/>
      <c r="K50" s="195"/>
      <c r="L50" s="195"/>
      <c r="M50" s="195"/>
      <c r="N50" s="195"/>
      <c r="O50" s="195"/>
      <c r="P50" s="195"/>
      <c r="Q50" s="195"/>
      <c r="R50" s="196">
        <v>0</v>
      </c>
      <c r="S50" s="196"/>
      <c r="T50" s="196"/>
      <c r="U50" s="196"/>
      <c r="V50" s="196"/>
      <c r="W50" s="196"/>
    </row>
    <row r="51" spans="1:31" ht="27.75" customHeight="1">
      <c r="A51" s="210" t="s">
        <v>26</v>
      </c>
      <c r="B51" s="1235" t="s">
        <v>569</v>
      </c>
      <c r="C51" s="1236"/>
      <c r="D51" s="1237"/>
      <c r="E51" s="216">
        <v>0</v>
      </c>
      <c r="F51" s="216">
        <v>0</v>
      </c>
      <c r="G51" s="216">
        <v>0</v>
      </c>
      <c r="H51" s="216">
        <v>0</v>
      </c>
      <c r="I51" s="216">
        <v>0</v>
      </c>
      <c r="J51" s="216">
        <v>0</v>
      </c>
      <c r="K51" s="216">
        <v>0</v>
      </c>
      <c r="L51" s="216">
        <v>0</v>
      </c>
      <c r="M51" s="216">
        <v>0</v>
      </c>
      <c r="N51" s="216">
        <v>0</v>
      </c>
      <c r="O51" s="216">
        <v>0</v>
      </c>
      <c r="P51" s="216">
        <v>0</v>
      </c>
      <c r="Q51" s="216">
        <v>0</v>
      </c>
      <c r="R51" s="216">
        <v>0</v>
      </c>
      <c r="S51" s="216">
        <v>0</v>
      </c>
      <c r="T51" s="216">
        <v>0</v>
      </c>
      <c r="U51" s="216">
        <v>0</v>
      </c>
      <c r="V51" s="216">
        <v>0</v>
      </c>
      <c r="W51" s="216">
        <v>0</v>
      </c>
      <c r="X51" s="216">
        <v>0</v>
      </c>
      <c r="Y51" s="216">
        <v>0</v>
      </c>
      <c r="Z51" s="216">
        <v>0</v>
      </c>
      <c r="AA51" s="216">
        <v>0</v>
      </c>
      <c r="AB51" s="216">
        <v>0</v>
      </c>
      <c r="AC51" s="216">
        <v>0</v>
      </c>
      <c r="AD51" s="216">
        <v>0</v>
      </c>
      <c r="AE51" s="216">
        <v>0</v>
      </c>
    </row>
    <row r="52" spans="1:31" ht="27.75" customHeight="1">
      <c r="A52" s="211" t="s">
        <v>27</v>
      </c>
      <c r="B52" s="1229" t="s">
        <v>570</v>
      </c>
      <c r="C52" s="1230"/>
      <c r="D52" s="1231"/>
      <c r="E52" s="217">
        <f>'1.sz.m-önk.össze.bev'!E60</f>
        <v>0</v>
      </c>
      <c r="F52" s="217">
        <f>'1.sz.m-önk.össze.bev'!F60</f>
        <v>0</v>
      </c>
      <c r="G52" s="217">
        <f>'1.sz.m-önk.össze.bev'!G60</f>
        <v>0</v>
      </c>
      <c r="H52" s="217"/>
      <c r="I52" s="217">
        <f>'1.sz.m-önk.össze.bev'!I60</f>
        <v>0</v>
      </c>
      <c r="J52" s="217"/>
      <c r="K52" s="217">
        <f>'1.sz.m-önk.össze.bev'!K60</f>
        <v>0</v>
      </c>
      <c r="L52" s="217">
        <f>'1.sz.m-önk.össze.bev'!L60</f>
        <v>0</v>
      </c>
      <c r="M52" s="217">
        <f>'1.sz.m-önk.össze.bev'!M60</f>
        <v>0</v>
      </c>
      <c r="N52" s="217"/>
      <c r="O52" s="217">
        <f>'1.sz.m-önk.össze.bev'!O60</f>
        <v>0</v>
      </c>
      <c r="P52" s="217"/>
      <c r="Q52" s="217" t="e">
        <f>'1.sz.m-önk.össze.bev'!Q60</f>
        <v>#DIV/0!</v>
      </c>
      <c r="R52" s="217">
        <f>'1.sz.m-önk.össze.bev'!R60</f>
        <v>0</v>
      </c>
      <c r="S52" s="217">
        <f>'1.sz.m-önk.össze.bev'!S60</f>
        <v>0</v>
      </c>
      <c r="T52" s="217">
        <f>'1.sz.m-önk.össze.bev'!T60</f>
        <v>0</v>
      </c>
      <c r="U52" s="217">
        <f>'1.sz.m-önk.össze.bev'!U60</f>
        <v>0</v>
      </c>
      <c r="V52" s="217">
        <f>'1.sz.m-önk.össze.bev'!V60</f>
        <v>0</v>
      </c>
      <c r="W52" s="217">
        <f>'1.sz.m-önk.össze.bev'!W60</f>
        <v>0</v>
      </c>
      <c r="X52" s="217">
        <f>'1.sz.m-önk.össze.bev'!X60</f>
        <v>0</v>
      </c>
      <c r="Y52" s="217">
        <f>'1.sz.m-önk.össze.bev'!Y60</f>
        <v>0</v>
      </c>
      <c r="Z52" s="217">
        <f>'1.sz.m-önk.össze.bev'!Z60</f>
        <v>0</v>
      </c>
      <c r="AA52" s="217">
        <f>'1.sz.m-önk.össze.bev'!AA60</f>
        <v>0</v>
      </c>
      <c r="AB52" s="217">
        <f>'1.sz.m-önk.össze.bev'!AB60</f>
        <v>0</v>
      </c>
      <c r="AC52" s="217">
        <f>'1.sz.m-önk.össze.bev'!AC60</f>
        <v>0</v>
      </c>
      <c r="AD52" s="217">
        <f>'1.sz.m-önk.össze.bev'!AD60</f>
        <v>0</v>
      </c>
      <c r="AE52" s="217">
        <f>'1.sz.m-önk.össze.bev'!AE60</f>
        <v>0</v>
      </c>
    </row>
    <row r="53" spans="1:31" ht="27.75" customHeight="1" thickBot="1">
      <c r="A53" s="212" t="s">
        <v>9</v>
      </c>
      <c r="B53" s="1239" t="s">
        <v>571</v>
      </c>
      <c r="C53" s="1240"/>
      <c r="D53" s="1241"/>
      <c r="E53" s="218">
        <f aca="true" t="shared" si="18" ref="E53:J53">E51+E52</f>
        <v>0</v>
      </c>
      <c r="F53" s="218">
        <f t="shared" si="18"/>
        <v>0</v>
      </c>
      <c r="G53" s="218">
        <f t="shared" si="18"/>
        <v>0</v>
      </c>
      <c r="H53" s="218">
        <f t="shared" si="18"/>
        <v>0</v>
      </c>
      <c r="I53" s="218">
        <f t="shared" si="18"/>
        <v>0</v>
      </c>
      <c r="J53" s="218">
        <f t="shared" si="18"/>
        <v>0</v>
      </c>
      <c r="K53" s="218">
        <f aca="true" t="shared" si="19" ref="K53:AE53">K51+K52</f>
        <v>0</v>
      </c>
      <c r="L53" s="218">
        <f t="shared" si="19"/>
        <v>0</v>
      </c>
      <c r="M53" s="218">
        <f t="shared" si="19"/>
        <v>0</v>
      </c>
      <c r="N53" s="218">
        <f t="shared" si="19"/>
        <v>0</v>
      </c>
      <c r="O53" s="218">
        <f t="shared" si="19"/>
        <v>0</v>
      </c>
      <c r="P53" s="218">
        <f>P51+P52</f>
        <v>0</v>
      </c>
      <c r="Q53" s="218" t="e">
        <f t="shared" si="19"/>
        <v>#DIV/0!</v>
      </c>
      <c r="R53" s="218">
        <f t="shared" si="19"/>
        <v>0</v>
      </c>
      <c r="S53" s="218">
        <f t="shared" si="19"/>
        <v>0</v>
      </c>
      <c r="T53" s="218">
        <f t="shared" si="19"/>
        <v>0</v>
      </c>
      <c r="U53" s="218">
        <f t="shared" si="19"/>
        <v>0</v>
      </c>
      <c r="V53" s="218">
        <f t="shared" si="19"/>
        <v>0</v>
      </c>
      <c r="W53" s="218">
        <f t="shared" si="19"/>
        <v>0</v>
      </c>
      <c r="X53" s="218">
        <f t="shared" si="19"/>
        <v>0</v>
      </c>
      <c r="Y53" s="218">
        <f t="shared" si="19"/>
        <v>0</v>
      </c>
      <c r="Z53" s="218">
        <f t="shared" si="19"/>
        <v>0</v>
      </c>
      <c r="AA53" s="218">
        <f t="shared" si="19"/>
        <v>0</v>
      </c>
      <c r="AB53" s="218">
        <f t="shared" si="19"/>
        <v>0</v>
      </c>
      <c r="AC53" s="218">
        <f t="shared" si="19"/>
        <v>0</v>
      </c>
      <c r="AD53" s="218">
        <f t="shared" si="19"/>
        <v>0</v>
      </c>
      <c r="AE53" s="218">
        <f t="shared" si="19"/>
        <v>0</v>
      </c>
    </row>
    <row r="54" spans="1:28" ht="15.75">
      <c r="A54" s="80"/>
      <c r="B54" s="32"/>
      <c r="C54" s="199"/>
      <c r="D54" s="200"/>
      <c r="E54" s="201"/>
      <c r="F54" s="201"/>
      <c r="G54" s="201"/>
      <c r="H54" s="201"/>
      <c r="I54" s="201"/>
      <c r="J54" s="201"/>
      <c r="K54" s="195"/>
      <c r="L54" s="195"/>
      <c r="M54" s="195"/>
      <c r="N54" s="195"/>
      <c r="O54" s="195"/>
      <c r="P54" s="195"/>
      <c r="Q54" s="195"/>
      <c r="R54" s="196"/>
      <c r="S54" s="196"/>
      <c r="T54" s="196"/>
      <c r="U54" s="196"/>
      <c r="V54" s="196"/>
      <c r="W54" s="196"/>
      <c r="AB54" s="42"/>
    </row>
    <row r="55" spans="1:24" ht="15.75" customHeight="1">
      <c r="A55" s="80"/>
      <c r="B55" s="32"/>
      <c r="C55" s="1244" t="s">
        <v>52</v>
      </c>
      <c r="D55" s="1244"/>
      <c r="E55" s="1244"/>
      <c r="F55" s="1244"/>
      <c r="G55" s="1244"/>
      <c r="H55" s="1244"/>
      <c r="I55" s="1244"/>
      <c r="J55" s="1244"/>
      <c r="K55" s="1244"/>
      <c r="L55" s="1244"/>
      <c r="M55" s="1244"/>
      <c r="N55" s="1244"/>
      <c r="O55" s="1244"/>
      <c r="P55" s="1244"/>
      <c r="Q55" s="1244"/>
      <c r="R55" s="1224"/>
      <c r="S55" s="252"/>
      <c r="T55" s="252"/>
      <c r="U55" s="252"/>
      <c r="V55" s="252"/>
      <c r="W55" s="252"/>
      <c r="X55" s="96"/>
    </row>
    <row r="56" spans="1:23" ht="15.75">
      <c r="A56" s="80"/>
      <c r="B56" s="32"/>
      <c r="C56" s="202"/>
      <c r="D56" s="202"/>
      <c r="E56" s="202"/>
      <c r="F56" s="202"/>
      <c r="G56" s="202"/>
      <c r="H56" s="202"/>
      <c r="I56" s="202"/>
      <c r="J56" s="202"/>
      <c r="K56" s="203"/>
      <c r="L56" s="203"/>
      <c r="M56" s="203"/>
      <c r="N56" s="203"/>
      <c r="O56" s="203"/>
      <c r="P56" s="203"/>
      <c r="Q56" s="203"/>
      <c r="R56" s="204"/>
      <c r="S56" s="204"/>
      <c r="T56" s="204"/>
      <c r="U56" s="204"/>
      <c r="V56" s="204"/>
      <c r="W56" s="204"/>
    </row>
    <row r="57" spans="1:23" ht="16.5" thickBot="1">
      <c r="A57" s="215" t="s">
        <v>191</v>
      </c>
      <c r="C57" s="1245"/>
      <c r="D57" s="1245"/>
      <c r="E57" s="202"/>
      <c r="F57" s="202"/>
      <c r="G57" s="202"/>
      <c r="H57" s="202"/>
      <c r="I57" s="202"/>
      <c r="J57" s="202"/>
      <c r="K57" s="203"/>
      <c r="L57" s="203"/>
      <c r="M57" s="203"/>
      <c r="N57" s="203"/>
      <c r="O57" s="203"/>
      <c r="P57" s="203"/>
      <c r="Q57" s="203"/>
      <c r="R57" s="204"/>
      <c r="S57" s="204"/>
      <c r="T57" s="204"/>
      <c r="U57" s="204"/>
      <c r="V57" s="204"/>
      <c r="W57" s="204"/>
    </row>
    <row r="58" spans="1:30" ht="27" customHeight="1">
      <c r="A58" s="222" t="s">
        <v>26</v>
      </c>
      <c r="B58" s="1242" t="s">
        <v>155</v>
      </c>
      <c r="C58" s="1242"/>
      <c r="D58" s="1242"/>
      <c r="E58" s="223">
        <f>E59-E62</f>
        <v>293366907</v>
      </c>
      <c r="F58" s="223">
        <f>F59-F62</f>
        <v>293366907</v>
      </c>
      <c r="G58" s="223">
        <f>G59-G62</f>
        <v>0</v>
      </c>
      <c r="H58" s="223">
        <f>H59-H62</f>
        <v>0</v>
      </c>
      <c r="I58" s="223">
        <f>I59-I62</f>
        <v>0</v>
      </c>
      <c r="J58" s="223">
        <f aca="true" t="shared" si="20" ref="J58:AC58">J59-J62</f>
        <v>0</v>
      </c>
      <c r="K58" s="223">
        <f t="shared" si="20"/>
        <v>277731113</v>
      </c>
      <c r="L58" s="223">
        <f t="shared" si="20"/>
        <v>277731113</v>
      </c>
      <c r="M58" s="223">
        <f>M59-M62</f>
        <v>0</v>
      </c>
      <c r="N58" s="223">
        <f>N59-N62</f>
        <v>0</v>
      </c>
      <c r="O58" s="223">
        <f>O59-O62</f>
        <v>0</v>
      </c>
      <c r="P58" s="223">
        <f>P59-P62</f>
        <v>0</v>
      </c>
      <c r="Q58" s="223" t="e">
        <f t="shared" si="20"/>
        <v>#DIV/0!</v>
      </c>
      <c r="R58" s="223">
        <f t="shared" si="20"/>
        <v>15635794</v>
      </c>
      <c r="S58" s="223">
        <f t="shared" si="20"/>
        <v>15635794</v>
      </c>
      <c r="T58" s="223">
        <f t="shared" si="20"/>
        <v>0</v>
      </c>
      <c r="U58" s="223">
        <f t="shared" si="20"/>
        <v>0</v>
      </c>
      <c r="V58" s="223">
        <f t="shared" si="20"/>
        <v>0</v>
      </c>
      <c r="W58" s="223">
        <f t="shared" si="20"/>
        <v>0</v>
      </c>
      <c r="X58" s="223">
        <f t="shared" si="20"/>
        <v>0</v>
      </c>
      <c r="Y58" s="223">
        <f t="shared" si="20"/>
        <v>0</v>
      </c>
      <c r="Z58" s="223">
        <f t="shared" si="20"/>
        <v>0</v>
      </c>
      <c r="AA58" s="223">
        <f t="shared" si="20"/>
        <v>0</v>
      </c>
      <c r="AB58" s="223">
        <f t="shared" si="20"/>
        <v>0</v>
      </c>
      <c r="AC58" s="223">
        <f t="shared" si="20"/>
        <v>0</v>
      </c>
      <c r="AD58" s="223">
        <f>AD59-AD62</f>
        <v>0</v>
      </c>
    </row>
    <row r="59" spans="1:30" ht="27" customHeight="1">
      <c r="A59" s="219" t="s">
        <v>156</v>
      </c>
      <c r="B59" s="1243" t="s">
        <v>434</v>
      </c>
      <c r="C59" s="1243"/>
      <c r="D59" s="1243"/>
      <c r="E59" s="224">
        <f>'1.sz.m-önk.össze.bev'!E59</f>
        <v>304279553</v>
      </c>
      <c r="F59" s="224">
        <f>'1.sz.m-önk.össze.bev'!F59</f>
        <v>304279553</v>
      </c>
      <c r="G59" s="224">
        <f>'1.sz.m-önk.össze.bev'!G59</f>
        <v>0</v>
      </c>
      <c r="H59" s="224">
        <f>'1.sz.m-önk.össze.bev'!H59</f>
        <v>0</v>
      </c>
      <c r="I59" s="224">
        <f>'1.sz.m-önk.össze.bev'!I59</f>
        <v>0</v>
      </c>
      <c r="J59" s="224">
        <f>'1.sz.m-önk.össze.bev'!J59</f>
        <v>0</v>
      </c>
      <c r="K59" s="224">
        <f>'1.sz.m-önk.össze.bev'!K59</f>
        <v>288643759</v>
      </c>
      <c r="L59" s="224">
        <f>'1.sz.m-önk.össze.bev'!L59</f>
        <v>288643759</v>
      </c>
      <c r="M59" s="224">
        <f>'1.sz.m-önk.össze.bev'!M59</f>
        <v>0</v>
      </c>
      <c r="N59" s="224">
        <f>'1.sz.m-önk.össze.bev'!N59</f>
        <v>0</v>
      </c>
      <c r="O59" s="224">
        <f>'1.sz.m-önk.össze.bev'!O59</f>
        <v>0</v>
      </c>
      <c r="P59" s="224">
        <f>'1.sz.m-önk.össze.bev'!P59</f>
        <v>0</v>
      </c>
      <c r="Q59" s="224" t="e">
        <f>'1.sz.m-önk.össze.bev'!Q59</f>
        <v>#DIV/0!</v>
      </c>
      <c r="R59" s="224">
        <f>'1.sz.m-önk.össze.bev'!R59</f>
        <v>15635794</v>
      </c>
      <c r="S59" s="224">
        <f>'1.sz.m-önk.össze.bev'!S59</f>
        <v>15635794</v>
      </c>
      <c r="T59" s="224">
        <f>'1.sz.m-önk.össze.bev'!T59</f>
        <v>0</v>
      </c>
      <c r="U59" s="224">
        <f>'1.sz.m-önk.össze.bev'!U59</f>
        <v>0</v>
      </c>
      <c r="V59" s="224">
        <f>'1.sz.m-önk.össze.bev'!V59</f>
        <v>0</v>
      </c>
      <c r="W59" s="224">
        <f>'1.sz.m-önk.össze.bev'!W59</f>
        <v>0</v>
      </c>
      <c r="X59" s="224">
        <f>'1.sz.m-önk.össze.bev'!X59</f>
        <v>0</v>
      </c>
      <c r="Y59" s="224">
        <f>'1.sz.m-önk.össze.bev'!Y59</f>
        <v>0</v>
      </c>
      <c r="Z59" s="224">
        <f>'1.sz.m-önk.össze.bev'!Z59</f>
        <v>0</v>
      </c>
      <c r="AA59" s="224">
        <f>'1.sz.m-önk.össze.bev'!AA59</f>
        <v>0</v>
      </c>
      <c r="AB59" s="224">
        <f>'1.sz.m-önk.össze.bev'!AB59</f>
        <v>0</v>
      </c>
      <c r="AC59" s="224">
        <f>'1.sz.m-önk.össze.bev'!AC59</f>
        <v>0</v>
      </c>
      <c r="AD59" s="224">
        <f>'1.sz.m-önk.össze.bev'!AD59</f>
        <v>0</v>
      </c>
    </row>
    <row r="60" spans="1:30" ht="27" customHeight="1">
      <c r="A60" s="219" t="s">
        <v>157</v>
      </c>
      <c r="B60" s="1223" t="s">
        <v>195</v>
      </c>
      <c r="C60" s="1223"/>
      <c r="D60" s="1223"/>
      <c r="E60" s="224">
        <f>'1.sz.m-önk.össze.bev'!E62-'2.sz.m.összehasonlító'!B28+'1.sz.m-önk.össze.bev'!E61</f>
        <v>177159235</v>
      </c>
      <c r="F60" s="224">
        <f>'1.sz.m-önk.össze.bev'!F62-'2.sz.m.összehasonlító'!C28+'1.sz.m-önk.össze.bev'!F61</f>
        <v>177159235</v>
      </c>
      <c r="G60" s="224">
        <f>'1.sz.m-önk.össze.bev'!G62-'2.sz.m.összehasonlító'!D28+'1.sz.m-önk.össze.bev'!G61</f>
        <v>-297693855</v>
      </c>
      <c r="H60" s="224">
        <f>+'2.sz.m.összehasonlító'!E19</f>
        <v>-297693855</v>
      </c>
      <c r="I60" s="224">
        <f>'1.sz.m-önk.össze.bev'!I62-'2.sz.m.összehasonlító'!F28</f>
        <v>-66329503</v>
      </c>
      <c r="J60" s="224">
        <f>'1.sz.m-önk.össze.bev'!J62-'2.sz.m.összehasonlító'!G28</f>
        <v>0</v>
      </c>
      <c r="K60" s="224">
        <f>+K45</f>
        <v>164105960</v>
      </c>
      <c r="L60" s="224">
        <f>'1.sz.m-önk.össze.bev'!F62-'2.sz.m.összehasonlító'!C28+'1.sz.m-önk.össze.bev'!F61</f>
        <v>177159235</v>
      </c>
      <c r="M60" s="224">
        <f>'1.sz.m-önk.össze.bev'!G62-'2.sz.m.összehasonlító'!D28+'1.sz.m-önk.össze.bev'!G61</f>
        <v>-297693855</v>
      </c>
      <c r="N60" s="224">
        <f>+'2.sz.m.összehasonlító'!E19</f>
        <v>-297693855</v>
      </c>
      <c r="O60" s="224">
        <f>'1.sz.m-önk.össze.bev'!I62-'2.sz.m.összehasonlító'!F28+'1.sz.m-önk.össze.bev'!I61</f>
        <v>-66329503</v>
      </c>
      <c r="P60" s="224">
        <f>'1.sz.m-önk.össze.bev'!P62</f>
        <v>0</v>
      </c>
      <c r="Q60" s="224" t="e">
        <f>'1.sz.m-önk.össze.bev'!Q62</f>
        <v>#DIV/0!</v>
      </c>
      <c r="R60" s="224">
        <f>+R45</f>
        <v>13053275</v>
      </c>
      <c r="S60" s="224">
        <f>'1.sz.m-önk.össze.bev'!S62</f>
        <v>15635794</v>
      </c>
      <c r="T60" s="224">
        <f>'1.sz.m-önk.össze.bev'!T62</f>
        <v>0</v>
      </c>
      <c r="U60" s="224">
        <f>'1.sz.m-önk.össze.bev'!U62</f>
        <v>0</v>
      </c>
      <c r="V60" s="224">
        <f>'1.sz.m-önk.össze.bev'!V62</f>
        <v>0</v>
      </c>
      <c r="W60" s="224">
        <f>'1.sz.m-önk.össze.bev'!W62</f>
        <v>0</v>
      </c>
      <c r="X60" s="224">
        <f>'1.sz.m-önk.össze.bev'!X62</f>
        <v>0</v>
      </c>
      <c r="Y60" s="224">
        <f>'1.sz.m-önk.össze.bev'!Y62</f>
        <v>0</v>
      </c>
      <c r="Z60" s="224">
        <f>'1.sz.m-önk.össze.bev'!Z62</f>
        <v>0</v>
      </c>
      <c r="AA60" s="224">
        <f>'1.sz.m-önk.össze.bev'!AA62</f>
        <v>0</v>
      </c>
      <c r="AB60" s="224">
        <f>'1.sz.m-önk.össze.bev'!AB62</f>
        <v>0</v>
      </c>
      <c r="AC60" s="224">
        <f>'1.sz.m-önk.össze.bev'!AC62</f>
        <v>0</v>
      </c>
      <c r="AD60" s="224">
        <f>'1.sz.m-önk.össze.bev'!AD62</f>
        <v>0</v>
      </c>
    </row>
    <row r="61" spans="1:30" ht="27" customHeight="1">
      <c r="A61" s="220" t="s">
        <v>158</v>
      </c>
      <c r="B61" s="1223" t="s">
        <v>196</v>
      </c>
      <c r="C61" s="1223"/>
      <c r="D61" s="1223"/>
      <c r="E61" s="224">
        <f>'1.sz.m-önk.össze.bev'!E60+'2.sz.m.összehasonlító'!B28</f>
        <v>127120318</v>
      </c>
      <c r="F61" s="224">
        <f>'1.sz.m-önk.össze.bev'!F60+'2.sz.m.összehasonlító'!C28</f>
        <v>127120318</v>
      </c>
      <c r="G61" s="224">
        <f>'1.sz.m-önk.össze.bev'!G60+'2.sz.m.összehasonlító'!D28</f>
        <v>297693855</v>
      </c>
      <c r="H61" s="224">
        <f>'2.sz.m.összehasonlító'!E28+'2.sz.m.összehasonlító'!E29</f>
        <v>297693855</v>
      </c>
      <c r="I61" s="224">
        <f>'1.sz.m-önk.össze.bev'!I60+'2.sz.m.összehasonlító'!F28</f>
        <v>66329503</v>
      </c>
      <c r="J61" s="224">
        <f>'1.sz.m-önk.össze.bev'!J60+'2.sz.m.összehasonlító'!G28</f>
        <v>0</v>
      </c>
      <c r="K61" s="224">
        <f>+K46</f>
        <v>124537799</v>
      </c>
      <c r="L61" s="224">
        <f>'1.sz.m-önk.össze.bev'!L60+'2.sz.m.összehasonlító'!C28</f>
        <v>127120318</v>
      </c>
      <c r="M61" s="224">
        <f>'1.sz.m-önk.össze.bev'!M60+'2.sz.m.összehasonlító'!D28</f>
        <v>297693855</v>
      </c>
      <c r="N61" s="224">
        <f>'2.sz.m.összehasonlító'!E28+'2.sz.m.összehasonlító'!E29</f>
        <v>297693855</v>
      </c>
      <c r="O61" s="224">
        <f>'1.sz.m-önk.össze.bev'!O60+'2.sz.m.összehasonlító'!F28</f>
        <v>66329503</v>
      </c>
      <c r="P61" s="224">
        <f>'1.sz.m-önk.össze.bev'!P60</f>
        <v>0</v>
      </c>
      <c r="Q61" s="224" t="e">
        <f>'1.sz.m-önk.össze.bev'!Q60</f>
        <v>#DIV/0!</v>
      </c>
      <c r="R61" s="224">
        <f>+R46</f>
        <v>2582519</v>
      </c>
      <c r="S61" s="224">
        <f>+S46</f>
        <v>2582519</v>
      </c>
      <c r="T61" s="224">
        <f>'1.sz.m-önk.össze.bev'!T60</f>
        <v>0</v>
      </c>
      <c r="U61" s="224">
        <f>'1.sz.m-önk.össze.bev'!U60</f>
        <v>0</v>
      </c>
      <c r="V61" s="224">
        <f>'1.sz.m-önk.össze.bev'!V60</f>
        <v>0</v>
      </c>
      <c r="W61" s="224">
        <f>'1.sz.m-önk.össze.bev'!W60</f>
        <v>0</v>
      </c>
      <c r="X61" s="224">
        <f>'1.sz.m-önk.össze.bev'!X60</f>
        <v>0</v>
      </c>
      <c r="Y61" s="224">
        <f>'1.sz.m-önk.össze.bev'!Y60</f>
        <v>0</v>
      </c>
      <c r="Z61" s="224">
        <f>'1.sz.m-önk.össze.bev'!Z60</f>
        <v>0</v>
      </c>
      <c r="AA61" s="224">
        <f>'1.sz.m-önk.össze.bev'!AA60</f>
        <v>0</v>
      </c>
      <c r="AB61" s="224">
        <f>'1.sz.m-önk.össze.bev'!AB60</f>
        <v>0</v>
      </c>
      <c r="AC61" s="224">
        <f>'1.sz.m-önk.össze.bev'!AC60</f>
        <v>0</v>
      </c>
      <c r="AD61" s="224">
        <f>'1.sz.m-önk.össze.bev'!AD60</f>
        <v>0</v>
      </c>
    </row>
    <row r="62" spans="1:30" ht="27" customHeight="1">
      <c r="A62" s="221" t="s">
        <v>159</v>
      </c>
      <c r="B62" s="1243" t="s">
        <v>435</v>
      </c>
      <c r="C62" s="1243"/>
      <c r="D62" s="1243"/>
      <c r="E62" s="225">
        <f>E30</f>
        <v>10912646</v>
      </c>
      <c r="F62" s="225">
        <f>F30</f>
        <v>10912646</v>
      </c>
      <c r="G62" s="225">
        <f>G30</f>
        <v>0</v>
      </c>
      <c r="H62" s="225">
        <f>H30</f>
        <v>0</v>
      </c>
      <c r="I62" s="225">
        <f>I30</f>
        <v>0</v>
      </c>
      <c r="J62" s="225">
        <f aca="true" t="shared" si="21" ref="J62:AC62">J30</f>
        <v>0</v>
      </c>
      <c r="K62" s="225">
        <f t="shared" si="21"/>
        <v>10912646</v>
      </c>
      <c r="L62" s="225">
        <f t="shared" si="21"/>
        <v>10912646</v>
      </c>
      <c r="M62" s="225">
        <f>M30</f>
        <v>0</v>
      </c>
      <c r="N62" s="225">
        <f>N30</f>
        <v>0</v>
      </c>
      <c r="O62" s="225">
        <f>O30</f>
        <v>0</v>
      </c>
      <c r="P62" s="225">
        <f>P30</f>
        <v>0</v>
      </c>
      <c r="Q62" s="225" t="e">
        <f t="shared" si="21"/>
        <v>#REF!</v>
      </c>
      <c r="R62" s="225">
        <f t="shared" si="21"/>
        <v>0</v>
      </c>
      <c r="S62" s="225">
        <f t="shared" si="21"/>
        <v>0</v>
      </c>
      <c r="T62" s="225">
        <f t="shared" si="21"/>
        <v>0</v>
      </c>
      <c r="U62" s="225">
        <f t="shared" si="21"/>
        <v>0</v>
      </c>
      <c r="V62" s="225">
        <f t="shared" si="21"/>
        <v>0</v>
      </c>
      <c r="W62" s="225">
        <f t="shared" si="21"/>
        <v>0</v>
      </c>
      <c r="X62" s="225">
        <f t="shared" si="21"/>
        <v>0</v>
      </c>
      <c r="Y62" s="225">
        <f t="shared" si="21"/>
        <v>0</v>
      </c>
      <c r="Z62" s="225">
        <f t="shared" si="21"/>
        <v>0</v>
      </c>
      <c r="AA62" s="225">
        <f t="shared" si="21"/>
        <v>0</v>
      </c>
      <c r="AB62" s="225">
        <f t="shared" si="21"/>
        <v>0</v>
      </c>
      <c r="AC62" s="225">
        <f t="shared" si="21"/>
        <v>0</v>
      </c>
      <c r="AD62" s="225">
        <f>AD30</f>
        <v>0</v>
      </c>
    </row>
    <row r="63" spans="1:30" ht="27" customHeight="1">
      <c r="A63" s="219" t="s">
        <v>160</v>
      </c>
      <c r="B63" s="1223" t="s">
        <v>197</v>
      </c>
      <c r="C63" s="1223"/>
      <c r="D63" s="1223"/>
      <c r="E63" s="224">
        <f>E33+E32</f>
        <v>10912646</v>
      </c>
      <c r="F63" s="224">
        <f aca="true" t="shared" si="22" ref="F63:K63">F33+F32</f>
        <v>10912646</v>
      </c>
      <c r="G63" s="224">
        <f>G33+G32</f>
        <v>0</v>
      </c>
      <c r="H63" s="224">
        <f>H33+H32</f>
        <v>0</v>
      </c>
      <c r="I63" s="224">
        <f>I33+I32</f>
        <v>0</v>
      </c>
      <c r="J63" s="224">
        <f t="shared" si="22"/>
        <v>0</v>
      </c>
      <c r="K63" s="224">
        <f t="shared" si="22"/>
        <v>10912646</v>
      </c>
      <c r="L63" s="224">
        <f>L62</f>
        <v>10912646</v>
      </c>
      <c r="M63" s="224">
        <f>M62</f>
        <v>0</v>
      </c>
      <c r="N63" s="224">
        <f>N62</f>
        <v>0</v>
      </c>
      <c r="O63" s="224">
        <f>O62</f>
        <v>0</v>
      </c>
      <c r="P63" s="224">
        <f>P62</f>
        <v>0</v>
      </c>
      <c r="Q63" s="224">
        <v>0</v>
      </c>
      <c r="R63" s="224">
        <v>0</v>
      </c>
      <c r="S63" s="224">
        <v>0</v>
      </c>
      <c r="T63" s="224">
        <v>0</v>
      </c>
      <c r="U63" s="224">
        <v>0</v>
      </c>
      <c r="V63" s="224">
        <v>0</v>
      </c>
      <c r="W63" s="224">
        <v>0</v>
      </c>
      <c r="X63" s="224">
        <v>0</v>
      </c>
      <c r="Y63" s="224">
        <v>0</v>
      </c>
      <c r="Z63" s="224">
        <v>0</v>
      </c>
      <c r="AA63" s="224">
        <v>0</v>
      </c>
      <c r="AB63" s="224">
        <v>0</v>
      </c>
      <c r="AC63" s="224">
        <v>0</v>
      </c>
      <c r="AD63" s="224">
        <v>0</v>
      </c>
    </row>
    <row r="64" spans="1:30" ht="27" customHeight="1" thickBot="1">
      <c r="A64" s="226" t="s">
        <v>161</v>
      </c>
      <c r="B64" s="1238" t="s">
        <v>198</v>
      </c>
      <c r="C64" s="1238"/>
      <c r="D64" s="1238"/>
      <c r="E64" s="227">
        <f>E31</f>
        <v>0</v>
      </c>
      <c r="F64" s="227">
        <f aca="true" t="shared" si="23" ref="F64:P64">F31</f>
        <v>0</v>
      </c>
      <c r="G64" s="227">
        <f>G31</f>
        <v>0</v>
      </c>
      <c r="H64" s="227">
        <f>H31</f>
        <v>0</v>
      </c>
      <c r="I64" s="227">
        <f>I31</f>
        <v>0</v>
      </c>
      <c r="J64" s="227">
        <f t="shared" si="23"/>
        <v>0</v>
      </c>
      <c r="K64" s="227">
        <f t="shared" si="23"/>
        <v>0</v>
      </c>
      <c r="L64" s="227">
        <f t="shared" si="23"/>
        <v>0</v>
      </c>
      <c r="M64" s="227">
        <f>M31</f>
        <v>0</v>
      </c>
      <c r="N64" s="227">
        <f>N31</f>
        <v>0</v>
      </c>
      <c r="O64" s="227">
        <f t="shared" si="23"/>
        <v>0</v>
      </c>
      <c r="P64" s="227">
        <f t="shared" si="23"/>
        <v>0</v>
      </c>
      <c r="Q64" s="227">
        <v>0</v>
      </c>
      <c r="R64" s="227">
        <v>0</v>
      </c>
      <c r="S64" s="227">
        <v>0</v>
      </c>
      <c r="T64" s="227">
        <v>0</v>
      </c>
      <c r="U64" s="227">
        <v>0</v>
      </c>
      <c r="V64" s="227">
        <v>0</v>
      </c>
      <c r="W64" s="227">
        <v>0</v>
      </c>
      <c r="X64" s="227">
        <v>0</v>
      </c>
      <c r="Y64" s="227">
        <v>0</v>
      </c>
      <c r="Z64" s="227">
        <v>0</v>
      </c>
      <c r="AA64" s="227">
        <v>0</v>
      </c>
      <c r="AB64" s="227">
        <v>0</v>
      </c>
      <c r="AC64" s="227">
        <v>0</v>
      </c>
      <c r="AD64" s="227">
        <v>0</v>
      </c>
    </row>
  </sheetData>
  <sheetProtection/>
  <mergeCells count="40">
    <mergeCell ref="B29:D29"/>
    <mergeCell ref="C32:D32"/>
    <mergeCell ref="B30:D30"/>
    <mergeCell ref="B24:D24"/>
    <mergeCell ref="B51:D51"/>
    <mergeCell ref="A35:D35"/>
    <mergeCell ref="C33:D33"/>
    <mergeCell ref="C25:D25"/>
    <mergeCell ref="B34:D34"/>
    <mergeCell ref="C50:D50"/>
    <mergeCell ref="C39:R39"/>
    <mergeCell ref="C19:D19"/>
    <mergeCell ref="A1:X1"/>
    <mergeCell ref="A3:D3"/>
    <mergeCell ref="B5:D5"/>
    <mergeCell ref="X3:AD3"/>
    <mergeCell ref="B16:D16"/>
    <mergeCell ref="C26:D26"/>
    <mergeCell ref="C17:D17"/>
    <mergeCell ref="C18:D18"/>
    <mergeCell ref="B64:D64"/>
    <mergeCell ref="B52:D52"/>
    <mergeCell ref="B53:D53"/>
    <mergeCell ref="B58:D58"/>
    <mergeCell ref="B59:D59"/>
    <mergeCell ref="B61:D61"/>
    <mergeCell ref="B60:D60"/>
    <mergeCell ref="C55:R55"/>
    <mergeCell ref="C57:D57"/>
    <mergeCell ref="B62:D62"/>
    <mergeCell ref="B63:D63"/>
    <mergeCell ref="C31:D31"/>
    <mergeCell ref="C49:R49"/>
    <mergeCell ref="A36:D36"/>
    <mergeCell ref="B41:D41"/>
    <mergeCell ref="C44:D44"/>
    <mergeCell ref="B46:D46"/>
    <mergeCell ref="B47:D47"/>
    <mergeCell ref="B45:D45"/>
    <mergeCell ref="C43:R43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landscape" paperSize="9" scale="42" r:id="rId1"/>
  <headerFooter differentOddEven="1" alignWithMargins="0">
    <oddHeader xml:space="preserve">&amp;C&amp;"Algerian,Normál"&amp;16BELED VÁROS ÖNKORMÁNYZATA
2020. ÉVI KÖLTSÉGVETÉSÉNEK ÖSSZEVONT MÉRLEGE&amp;R&amp;"MS Sans Serif,Félkövér dőlt"1. számú melléklet 
(1. számú mellléklet a 4/2020. (III.13.) önkormányzati rendelethez) </oddHeader>
    <oddFooter>&amp;C2. oldal</oddFooter>
    <evenHeader>&amp;R1. sz?m? mell?klet</evenHeader>
    <evenFooter>&amp;C3. oldal</evenFooter>
    <firstFooter>&amp;C2[Oldal]</firstFooter>
  </headerFooter>
  <rowBreaks count="1" manualBreakCount="1">
    <brk id="37" max="28" man="1"/>
  </rowBreaks>
  <colBreaks count="2" manualBreakCount="2">
    <brk id="26" max="65" man="1"/>
    <brk id="28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zoomScale="85" zoomScaleNormal="85" workbookViewId="0" topLeftCell="A1">
      <selection activeCell="J3" sqref="J3"/>
    </sheetView>
  </sheetViews>
  <sheetFormatPr defaultColWidth="9.140625" defaultRowHeight="12.75"/>
  <cols>
    <col min="1" max="1" width="47.8515625" style="11" bestFit="1" customWidth="1"/>
    <col min="2" max="2" width="19.8515625" style="11" customWidth="1"/>
    <col min="3" max="3" width="18.57421875" style="11" customWidth="1"/>
    <col min="4" max="4" width="20.57421875" style="11" hidden="1" customWidth="1"/>
    <col min="5" max="5" width="19.57421875" style="11" hidden="1" customWidth="1"/>
    <col min="6" max="6" width="19.421875" style="11" hidden="1" customWidth="1"/>
    <col min="7" max="7" width="18.421875" style="11" hidden="1" customWidth="1"/>
    <col min="8" max="8" width="43.57421875" style="11" bestFit="1" customWidth="1"/>
    <col min="9" max="9" width="21.8515625" style="11" customWidth="1"/>
    <col min="10" max="10" width="18.28125" style="11" customWidth="1"/>
    <col min="11" max="11" width="18.421875" style="11" hidden="1" customWidth="1"/>
    <col min="12" max="12" width="19.28125" style="11" hidden="1" customWidth="1"/>
    <col min="13" max="13" width="18.421875" style="11" hidden="1" customWidth="1"/>
    <col min="14" max="14" width="19.00390625" style="11" hidden="1" customWidth="1"/>
    <col min="15" max="15" width="13.28125" style="11" customWidth="1"/>
    <col min="16" max="16384" width="9.140625" style="11" customWidth="1"/>
  </cols>
  <sheetData>
    <row r="1" spans="8:13" ht="12.75">
      <c r="H1" s="1266" t="s">
        <v>508</v>
      </c>
      <c r="I1" s="1266"/>
      <c r="J1" s="1266"/>
      <c r="K1" s="1266"/>
      <c r="L1" s="1266"/>
      <c r="M1" s="1266"/>
    </row>
    <row r="2" spans="8:13" ht="12.75">
      <c r="H2" s="1183"/>
      <c r="I2" s="1183"/>
      <c r="J2" s="1183" t="s">
        <v>631</v>
      </c>
      <c r="K2" s="1183"/>
      <c r="L2" s="1183"/>
      <c r="M2" s="1183"/>
    </row>
    <row r="3" spans="1:9" ht="19.5">
      <c r="A3" s="1263" t="s">
        <v>19</v>
      </c>
      <c r="B3" s="1263"/>
      <c r="C3" s="1263"/>
      <c r="D3" s="1263"/>
      <c r="E3" s="1263"/>
      <c r="F3" s="1263"/>
      <c r="G3" s="1263"/>
      <c r="H3" s="1263"/>
      <c r="I3" s="1263"/>
    </row>
    <row r="4" spans="1:9" ht="11.25" customHeight="1">
      <c r="A4" s="38"/>
      <c r="B4" s="38"/>
      <c r="C4" s="38"/>
      <c r="D4" s="38"/>
      <c r="E4" s="38"/>
      <c r="F4" s="38"/>
      <c r="G4" s="38"/>
      <c r="H4" s="38"/>
      <c r="I4" s="37" t="s">
        <v>429</v>
      </c>
    </row>
    <row r="5" spans="1:9" ht="17.25" customHeight="1" thickBot="1">
      <c r="A5" s="1264" t="s">
        <v>193</v>
      </c>
      <c r="B5" s="1265"/>
      <c r="C5" s="1265"/>
      <c r="D5" s="1265"/>
      <c r="E5" s="1265"/>
      <c r="F5" s="1265"/>
      <c r="G5" s="1265"/>
      <c r="H5" s="1264"/>
      <c r="I5" s="1265"/>
    </row>
    <row r="6" spans="1:14" ht="33" customHeight="1" thickBot="1">
      <c r="A6" s="282" t="s">
        <v>6</v>
      </c>
      <c r="B6" s="361" t="s">
        <v>217</v>
      </c>
      <c r="C6" s="362" t="s">
        <v>215</v>
      </c>
      <c r="D6" s="362" t="s">
        <v>218</v>
      </c>
      <c r="E6" s="362" t="s">
        <v>220</v>
      </c>
      <c r="F6" s="362" t="s">
        <v>232</v>
      </c>
      <c r="G6" s="363" t="s">
        <v>237</v>
      </c>
      <c r="H6" s="325" t="s">
        <v>7</v>
      </c>
      <c r="I6" s="361" t="s">
        <v>217</v>
      </c>
      <c r="J6" s="362" t="s">
        <v>215</v>
      </c>
      <c r="K6" s="362" t="s">
        <v>218</v>
      </c>
      <c r="L6" s="362" t="s">
        <v>220</v>
      </c>
      <c r="M6" s="362" t="s">
        <v>232</v>
      </c>
      <c r="N6" s="363" t="s">
        <v>237</v>
      </c>
    </row>
    <row r="7" spans="1:14" ht="12.75">
      <c r="A7" s="284" t="s">
        <v>315</v>
      </c>
      <c r="B7" s="364">
        <f>'3.sz.m Önk  bev.'!E8</f>
        <v>219910000</v>
      </c>
      <c r="C7" s="364">
        <f>'3.sz.m Önk  bev.'!F8</f>
        <v>206228365</v>
      </c>
      <c r="D7" s="364">
        <f>'3.sz.m Önk  bev.'!G8</f>
        <v>0</v>
      </c>
      <c r="E7" s="364">
        <f>'3.sz.m Önk  bev.'!H8</f>
        <v>0</v>
      </c>
      <c r="F7" s="364">
        <f>'3.sz.m Önk  bev.'!I8</f>
        <v>0</v>
      </c>
      <c r="G7" s="364">
        <f>'3.sz.m Önk  bev.'!J8</f>
        <v>0</v>
      </c>
      <c r="H7" s="348" t="s">
        <v>170</v>
      </c>
      <c r="I7" s="377">
        <f>'4.sz.m.ÖNK kiadás'!E8+'5.1 sz. m Köz Hiv'!D36+'5.2 sz. m ÁMK'!D39+'üres lap'!D27</f>
        <v>222688836</v>
      </c>
      <c r="J7" s="377">
        <f>'4.sz.m.ÖNK kiadás'!F8+'5.1 sz. m Köz Hiv'!E36+'5.2 sz. m ÁMK'!E39+'üres lap'!E27</f>
        <v>222688836</v>
      </c>
      <c r="K7" s="377">
        <f>'4.sz.m.ÖNK kiadás'!G8+'5.1 sz. m Köz Hiv'!F36+'5.2 sz. m ÁMK'!F39+'üres lap'!F27</f>
        <v>0</v>
      </c>
      <c r="L7" s="377">
        <f>'4.sz.m.ÖNK kiadás'!H8+'5.1 sz. m Köz Hiv'!G36+'5.2 sz. m ÁMK'!G39+'üres lap'!G27</f>
        <v>0</v>
      </c>
      <c r="M7" s="377">
        <f>'4.sz.m.ÖNK kiadás'!I8+'5.1 sz. m Köz Hiv'!H36+'5.2 sz. m ÁMK'!H39+'üres lap'!H27</f>
        <v>0</v>
      </c>
      <c r="N7" s="377">
        <f>'4.sz.m.ÖNK kiadás'!J8+'5.1 sz. m Köz Hiv'!I36+'5.2 sz. m ÁMK'!I39+'üres lap'!I27</f>
        <v>0</v>
      </c>
    </row>
    <row r="8" spans="1:14" ht="12.75">
      <c r="A8" s="285" t="s">
        <v>316</v>
      </c>
      <c r="B8" s="365">
        <f>'3.sz.m Önk  bev.'!E22+'5.1 sz. m Köz Hiv'!D10+'5.2 sz. m ÁMK'!D10</f>
        <v>74220992</v>
      </c>
      <c r="C8" s="365">
        <f>'3.sz.m Önk  bev.'!F22+'5.1 sz. m Köz Hiv'!E10+'5.2 sz. m ÁMK'!E10</f>
        <v>62585349</v>
      </c>
      <c r="D8" s="365">
        <f>'3.sz.m Önk  bev.'!G22+'5.1 sz. m Köz Hiv'!F10+'5.2 sz. m ÁMK'!F10</f>
        <v>0</v>
      </c>
      <c r="E8" s="365">
        <f>'3.sz.m Önk  bev.'!H22+'5.1 sz. m Köz Hiv'!G10+'5.2 sz. m ÁMK'!G10</f>
        <v>0</v>
      </c>
      <c r="F8" s="365">
        <f>'3.sz.m Önk  bev.'!I22+'5.1 sz. m Köz Hiv'!H10+'5.2 sz. m ÁMK'!H10</f>
        <v>0</v>
      </c>
      <c r="G8" s="365">
        <f>'3.sz.m Önk  bev.'!J22+'5.1 sz. m Köz Hiv'!I10+'5.2 sz. m ÁMK'!I10</f>
        <v>0</v>
      </c>
      <c r="H8" s="349" t="s">
        <v>171</v>
      </c>
      <c r="I8" s="365">
        <f>'4.sz.m.ÖNK kiadás'!E9+'5.1 sz. m Köz Hiv'!D37+'5.2 sz. m ÁMK'!D40+'üres lap'!D28</f>
        <v>38852584</v>
      </c>
      <c r="J8" s="365">
        <f>'4.sz.m.ÖNK kiadás'!F9+'5.1 sz. m Köz Hiv'!E37+'5.2 sz. m ÁMK'!E40+'üres lap'!E28</f>
        <v>38852584</v>
      </c>
      <c r="K8" s="365">
        <f>'4.sz.m.ÖNK kiadás'!G9+'5.1 sz. m Köz Hiv'!F37+'5.2 sz. m ÁMK'!F40+'üres lap'!F28</f>
        <v>0</v>
      </c>
      <c r="L8" s="365">
        <f>'4.sz.m.ÖNK kiadás'!H9+'5.1 sz. m Köz Hiv'!G37+'5.2 sz. m ÁMK'!G40+'üres lap'!G28</f>
        <v>0</v>
      </c>
      <c r="M8" s="365">
        <f>'4.sz.m.ÖNK kiadás'!I9+'5.1 sz. m Köz Hiv'!H37+'5.2 sz. m ÁMK'!H40+'üres lap'!H28</f>
        <v>0</v>
      </c>
      <c r="N8" s="365">
        <f>'4.sz.m.ÖNK kiadás'!J9+'5.1 sz. m Köz Hiv'!I37+'5.2 sz. m ÁMK'!I40+'üres lap'!I28</f>
        <v>0</v>
      </c>
    </row>
    <row r="9" spans="1:14" ht="25.5">
      <c r="A9" s="285" t="s">
        <v>317</v>
      </c>
      <c r="B9" s="365">
        <f>'3.sz.m Önk  bev.'!E33+'5.1 sz. m Köz Hiv'!D16+'5.2 sz. m ÁMK'!D19</f>
        <v>326093376</v>
      </c>
      <c r="C9" s="365">
        <f>'3.sz.m Önk  bev.'!F33+'5.1 sz. m Köz Hiv'!E16+'5.2 sz. m ÁMK'!E19</f>
        <v>337958427</v>
      </c>
      <c r="D9" s="365">
        <f>'3.sz.m Önk  bev.'!G33+'5.1 sz. m Köz Hiv'!F16+'5.2 sz. m ÁMK'!F19</f>
        <v>0</v>
      </c>
      <c r="E9" s="365">
        <f>'3.sz.m Önk  bev.'!H33+'5.1 sz. m Köz Hiv'!G16+'5.2 sz. m ÁMK'!G19</f>
        <v>0</v>
      </c>
      <c r="F9" s="365">
        <f>'3.sz.m Önk  bev.'!I33+'5.1 sz. m Köz Hiv'!H16+'5.2 sz. m ÁMK'!H19</f>
        <v>0</v>
      </c>
      <c r="G9" s="365">
        <f>'3.sz.m Önk  bev.'!J33+'5.1 sz. m Köz Hiv'!I16+'5.2 sz. m ÁMK'!I19</f>
        <v>0</v>
      </c>
      <c r="H9" s="349" t="s">
        <v>172</v>
      </c>
      <c r="I9" s="365">
        <f>'4.sz.m.ÖNK kiadás'!E10+'5.1 sz. m Köz Hiv'!D38+'5.2 sz. m ÁMK'!D41+'üres lap'!D29</f>
        <v>145494788</v>
      </c>
      <c r="J9" s="365">
        <f>'4.sz.m.ÖNK kiadás'!F10+'5.1 sz. m Köz Hiv'!E38+'5.2 sz. m ÁMK'!E41+'üres lap'!E29</f>
        <v>146164688</v>
      </c>
      <c r="K9" s="365">
        <f>'4.sz.m.ÖNK kiadás'!G10+'5.1 sz. m Köz Hiv'!F38+'5.2 sz. m ÁMK'!F41+'üres lap'!F29</f>
        <v>0</v>
      </c>
      <c r="L9" s="365">
        <f>'4.sz.m.ÖNK kiadás'!H10+'5.1 sz. m Köz Hiv'!G38+'5.2 sz. m ÁMK'!G41+'üres lap'!G29</f>
        <v>0</v>
      </c>
      <c r="M9" s="365">
        <f>'4.sz.m.ÖNK kiadás'!I10+'5.1 sz. m Köz Hiv'!H38+'5.2 sz. m ÁMK'!H41+'üres lap'!H29</f>
        <v>0</v>
      </c>
      <c r="N9" s="365">
        <f>'4.sz.m.ÖNK kiadás'!J10+'5.1 sz. m Köz Hiv'!I38+'5.2 sz. m ÁMK'!I41+'üres lap'!I29</f>
        <v>0</v>
      </c>
    </row>
    <row r="10" spans="1:14" ht="12.75">
      <c r="A10" s="285" t="s">
        <v>318</v>
      </c>
      <c r="B10" s="365">
        <f>'3.sz.m Önk  bev.'!E51+'5.1 sz. m Köz Hiv'!D22+'5.2 sz. m ÁMK'!D25</f>
        <v>60000</v>
      </c>
      <c r="C10" s="365">
        <f>'3.sz.m Önk  bev.'!F51+'5.1 sz. m Köz Hiv'!E22+'5.2 sz. m ÁMK'!E25</f>
        <v>60000</v>
      </c>
      <c r="D10" s="365">
        <f>'3.sz.m Önk  bev.'!G51+'5.1 sz. m Köz Hiv'!F22+'5.2 sz. m ÁMK'!F25</f>
        <v>0</v>
      </c>
      <c r="E10" s="365">
        <f>'3.sz.m Önk  bev.'!H51+'5.1 sz. m Köz Hiv'!G22+'5.2 sz. m ÁMK'!G25</f>
        <v>0</v>
      </c>
      <c r="F10" s="365">
        <f>'3.sz.m Önk  bev.'!I51+'5.1 sz. m Köz Hiv'!H22+'5.2 sz. m ÁMK'!H25</f>
        <v>260000</v>
      </c>
      <c r="G10" s="365">
        <f>'3.sz.m Önk  bev.'!J51+'5.1 sz. m Köz Hiv'!I22+'5.2 sz. m ÁMK'!I25</f>
        <v>0</v>
      </c>
      <c r="H10" s="349" t="s">
        <v>173</v>
      </c>
      <c r="I10" s="378">
        <f>'4.sz.m.ÖNK kiadás'!E11+'5.1 sz. m Köz Hiv'!D39+'5.2 sz. m ÁMK'!D42+'üres lap'!D30</f>
        <v>2250000</v>
      </c>
      <c r="J10" s="378">
        <f>'4.sz.m.ÖNK kiadás'!F11+'5.1 sz. m Köz Hiv'!E39+'5.2 sz. m ÁMK'!E42+'üres lap'!E30</f>
        <v>2250000</v>
      </c>
      <c r="K10" s="378">
        <f>'4.sz.m.ÖNK kiadás'!G11+'5.1 sz. m Köz Hiv'!F39+'5.2 sz. m ÁMK'!F42+'üres lap'!F30</f>
        <v>0</v>
      </c>
      <c r="L10" s="378">
        <f>'4.sz.m.ÖNK kiadás'!H11+'5.1 sz. m Köz Hiv'!G39+'5.2 sz. m ÁMK'!G42+'üres lap'!G30</f>
        <v>0</v>
      </c>
      <c r="M10" s="378">
        <f>'4.sz.m.ÖNK kiadás'!I11+'5.1 sz. m Köz Hiv'!H39+'5.2 sz. m ÁMK'!H42+'üres lap'!H30</f>
        <v>0</v>
      </c>
      <c r="N10" s="378">
        <f>'4.sz.m.ÖNK kiadás'!J11+'5.1 sz. m Köz Hiv'!I39+'5.2 sz. m ÁMK'!I42+'üres lap'!I30</f>
        <v>0</v>
      </c>
    </row>
    <row r="11" spans="1:15" ht="12.75">
      <c r="A11" s="285"/>
      <c r="B11" s="365"/>
      <c r="C11" s="365"/>
      <c r="D11" s="365"/>
      <c r="E11" s="365"/>
      <c r="F11" s="365"/>
      <c r="G11" s="365"/>
      <c r="H11" s="350" t="s">
        <v>174</v>
      </c>
      <c r="I11" s="365">
        <f>'4.sz.m.ÖNK kiadás'!E12+'5.1 sz. m Köz Hiv'!D40+'5.2 sz. m ÁMK'!D43+'üres lap'!D31</f>
        <v>151539652</v>
      </c>
      <c r="J11" s="365">
        <f>'4.sz.m.ÖNK kiadás'!F12+'5.1 sz. m Köz Hiv'!E40+'5.2 sz. m ÁMK'!E43+'üres lap'!E31</f>
        <v>159273710</v>
      </c>
      <c r="K11" s="365">
        <f>'4.sz.m.ÖNK kiadás'!G12+'5.1 sz. m Köz Hiv'!F40+'5.2 sz. m ÁMK'!F43+'üres lap'!F31</f>
        <v>0</v>
      </c>
      <c r="L11" s="365">
        <f>'4.sz.m.ÖNK kiadás'!H12+'5.1 sz. m Köz Hiv'!G40+'5.2 sz. m ÁMK'!G43+'üres lap'!G31</f>
        <v>0</v>
      </c>
      <c r="M11" s="365">
        <f>'4.sz.m.ÖNK kiadás'!I12+'5.1 sz. m Köz Hiv'!H40+'5.2 sz. m ÁMK'!H43+'üres lap'!H31</f>
        <v>0</v>
      </c>
      <c r="N11" s="365">
        <f>'4.sz.m.ÖNK kiadás'!J12+'5.1 sz. m Köz Hiv'!I40+'5.2 sz. m ÁMK'!I43+'üres lap'!I31</f>
        <v>0</v>
      </c>
      <c r="O11" s="18"/>
    </row>
    <row r="12" spans="1:14" ht="12.75">
      <c r="A12" s="285"/>
      <c r="B12" s="365"/>
      <c r="C12" s="365"/>
      <c r="D12" s="365"/>
      <c r="E12" s="365"/>
      <c r="F12" s="365"/>
      <c r="G12" s="365"/>
      <c r="H12" s="349" t="s">
        <v>175</v>
      </c>
      <c r="I12" s="378">
        <f>'4.sz.m.ÖNK kiadás'!E26</f>
        <v>88768165</v>
      </c>
      <c r="J12" s="378">
        <f>'4.sz.m.ÖNK kiadás'!F26</f>
        <v>80172407</v>
      </c>
      <c r="K12" s="378">
        <f>'4.sz.m.ÖNK kiadás'!G26</f>
        <v>0</v>
      </c>
      <c r="L12" s="378">
        <f>'4.sz.m.ÖNK kiadás'!H26</f>
        <v>0</v>
      </c>
      <c r="M12" s="378">
        <f>'4.sz.m.ÖNK kiadás'!I26</f>
        <v>57410165</v>
      </c>
      <c r="N12" s="378">
        <f>'4.sz.m.ÖNK kiadás'!J26</f>
        <v>0</v>
      </c>
    </row>
    <row r="13" spans="1:14" ht="12.75" hidden="1">
      <c r="A13" s="286"/>
      <c r="B13" s="366"/>
      <c r="C13" s="366"/>
      <c r="D13" s="366"/>
      <c r="E13" s="366"/>
      <c r="F13" s="366"/>
      <c r="G13" s="366"/>
      <c r="H13" s="351"/>
      <c r="I13" s="366"/>
      <c r="J13" s="366"/>
      <c r="K13" s="366"/>
      <c r="L13" s="366"/>
      <c r="M13" s="366"/>
      <c r="N13" s="366"/>
    </row>
    <row r="14" spans="1:14" ht="16.5" customHeight="1" hidden="1" thickBot="1">
      <c r="A14" s="287"/>
      <c r="B14" s="367"/>
      <c r="C14" s="367"/>
      <c r="D14" s="367"/>
      <c r="E14" s="367"/>
      <c r="F14" s="367"/>
      <c r="G14" s="367"/>
      <c r="H14" s="352"/>
      <c r="I14" s="367"/>
      <c r="J14" s="367"/>
      <c r="K14" s="367"/>
      <c r="L14" s="367"/>
      <c r="M14" s="367"/>
      <c r="N14" s="367"/>
    </row>
    <row r="15" spans="1:14" ht="24" customHeight="1" thickBot="1">
      <c r="A15" s="288" t="s">
        <v>177</v>
      </c>
      <c r="B15" s="368">
        <f aca="true" t="shared" si="0" ref="B15:G15">SUM(B7:B10)</f>
        <v>620284368</v>
      </c>
      <c r="C15" s="368">
        <f>SUM(C7:C10)</f>
        <v>606832141</v>
      </c>
      <c r="D15" s="368">
        <f>SUM(D7:D10)</f>
        <v>0</v>
      </c>
      <c r="E15" s="368">
        <f>SUM(E7:E10)</f>
        <v>0</v>
      </c>
      <c r="F15" s="368">
        <f t="shared" si="0"/>
        <v>260000</v>
      </c>
      <c r="G15" s="368">
        <f t="shared" si="0"/>
        <v>0</v>
      </c>
      <c r="H15" s="546" t="s">
        <v>178</v>
      </c>
      <c r="I15" s="368">
        <f aca="true" t="shared" si="1" ref="I15:N15">SUM(I7:I14)</f>
        <v>649594025</v>
      </c>
      <c r="J15" s="368">
        <f>SUM(J7:J14)</f>
        <v>649402225</v>
      </c>
      <c r="K15" s="368">
        <f>SUM(K7:K14)</f>
        <v>0</v>
      </c>
      <c r="L15" s="368">
        <f>SUM(L7:L14)</f>
        <v>0</v>
      </c>
      <c r="M15" s="368">
        <f t="shared" si="1"/>
        <v>57410165</v>
      </c>
      <c r="N15" s="368">
        <f t="shared" si="1"/>
        <v>0</v>
      </c>
    </row>
    <row r="16" spans="1:14" ht="18.75" customHeight="1">
      <c r="A16" s="289" t="s">
        <v>433</v>
      </c>
      <c r="B16" s="283">
        <f>'3.sz.m Önk  bev.'!E60+'5.1 sz. m Köz Hiv'!D27+'5.2 sz. m ÁMK'!D30-B28</f>
        <v>177159235</v>
      </c>
      <c r="C16" s="283">
        <f>'3.sz.m Önk  bev.'!F60+'5.1 sz. m Köz Hiv'!E27+'5.2 sz. m ÁMK'!E30-C28</f>
        <v>177159235</v>
      </c>
      <c r="D16" s="283">
        <f>'3.sz.m Önk  bev.'!G60+'5.1 sz. m Köz Hiv'!F27+'5.2 sz. m ÁMK'!F30-D28</f>
        <v>-297693855</v>
      </c>
      <c r="E16" s="283">
        <f>'3.sz.m Önk  bev.'!H60+'5.1 sz. m Köz Hiv'!G27+'5.2 sz. m ÁMK'!G30-E28</f>
        <v>-297693855</v>
      </c>
      <c r="F16" s="283">
        <f>'3.sz.m Önk  bev.'!I60+'5.1 sz. m Köz Hiv'!H27+'5.2 sz. m ÁMK'!H30-F28</f>
        <v>-66329503</v>
      </c>
      <c r="G16" s="283">
        <f>'3.sz.m Önk  bev.'!J60+'5.1 sz. m Köz Hiv'!I27+'5.2 sz. m ÁMK'!I30-G28</f>
        <v>0</v>
      </c>
      <c r="H16" s="348" t="s">
        <v>439</v>
      </c>
      <c r="I16" s="364">
        <f>'4.sz.m.ÖNK kiadás'!E35</f>
        <v>0</v>
      </c>
      <c r="J16" s="364">
        <f>'4.sz.m.ÖNK kiadás'!F35</f>
        <v>0</v>
      </c>
      <c r="K16" s="364">
        <f>'4.sz.m.ÖNK kiadás'!G35</f>
        <v>0</v>
      </c>
      <c r="L16" s="364">
        <f>'4.sz.m.ÖNK kiadás'!H35</f>
        <v>0</v>
      </c>
      <c r="M16" s="364">
        <f>'4.sz.m.ÖNK kiadás'!I35</f>
        <v>0</v>
      </c>
      <c r="N16" s="364">
        <f>'4.sz.m.ÖNK kiadás'!J35</f>
        <v>0</v>
      </c>
    </row>
    <row r="17" spans="1:14" ht="18.75" customHeight="1">
      <c r="A17" s="289" t="s">
        <v>482</v>
      </c>
      <c r="B17" s="898">
        <f>'3.sz.m Önk  bev.'!E59</f>
        <v>0</v>
      </c>
      <c r="C17" s="898">
        <f>'3.sz.m Önk  bev.'!F59</f>
        <v>0</v>
      </c>
      <c r="D17" s="898">
        <f>'3.sz.m Önk  bev.'!G59</f>
        <v>0</v>
      </c>
      <c r="E17" s="898">
        <f>'3.sz.m Önk  bev.'!H59</f>
        <v>0</v>
      </c>
      <c r="F17" s="898">
        <f>'3.sz.m Önk  bev.'!I59</f>
        <v>0</v>
      </c>
      <c r="G17" s="898">
        <f>'3.sz.m Önk  bev.'!J59</f>
        <v>0</v>
      </c>
      <c r="H17" s="351" t="s">
        <v>413</v>
      </c>
      <c r="I17" s="366">
        <f>'4.sz.m.ÖNK kiadás'!E37</f>
        <v>10912646</v>
      </c>
      <c r="J17" s="366">
        <f>'4.sz.m.ÖNK kiadás'!F37</f>
        <v>10912646</v>
      </c>
      <c r="K17" s="366">
        <f>'4.sz.m.ÖNK kiadás'!G37</f>
        <v>0</v>
      </c>
      <c r="L17" s="366">
        <f>'4.sz.m.ÖNK kiadás'!H37</f>
        <v>0</v>
      </c>
      <c r="M17" s="366">
        <f>'4.sz.m.ÖNK kiadás'!I37</f>
        <v>0</v>
      </c>
      <c r="N17" s="366">
        <f>'4.sz.m.ÖNK kiadás'!J37</f>
        <v>0</v>
      </c>
    </row>
    <row r="18" spans="1:14" ht="15" customHeight="1" thickBot="1">
      <c r="A18" s="290" t="s">
        <v>426</v>
      </c>
      <c r="B18" s="369"/>
      <c r="C18" s="369"/>
      <c r="D18" s="369"/>
      <c r="E18" s="369">
        <f>'3.sz.m Önk  bev.'!H58</f>
        <v>0</v>
      </c>
      <c r="F18" s="369"/>
      <c r="G18" s="369">
        <f>'3.sz.m Önk  bev.'!J58</f>
        <v>0</v>
      </c>
      <c r="H18" s="351"/>
      <c r="I18" s="366"/>
      <c r="J18" s="366"/>
      <c r="K18" s="366"/>
      <c r="L18" s="366"/>
      <c r="M18" s="366"/>
      <c r="N18" s="366"/>
    </row>
    <row r="19" spans="1:14" ht="25.5" customHeight="1" thickBot="1">
      <c r="A19" s="291" t="s">
        <v>182</v>
      </c>
      <c r="B19" s="370">
        <f aca="true" t="shared" si="2" ref="B19:G19">SUM(B16:B18)</f>
        <v>177159235</v>
      </c>
      <c r="C19" s="370">
        <f>SUM(C16:C18)</f>
        <v>177159235</v>
      </c>
      <c r="D19" s="370">
        <f>SUM(D16:D18)</f>
        <v>-297693855</v>
      </c>
      <c r="E19" s="370">
        <f>SUM(E16:E18)</f>
        <v>-297693855</v>
      </c>
      <c r="F19" s="370">
        <f t="shared" si="2"/>
        <v>-66329503</v>
      </c>
      <c r="G19" s="370">
        <f t="shared" si="2"/>
        <v>0</v>
      </c>
      <c r="H19" s="353" t="s">
        <v>189</v>
      </c>
      <c r="I19" s="370">
        <f aca="true" t="shared" si="3" ref="I19:N19">SUM(I16:I18)</f>
        <v>10912646</v>
      </c>
      <c r="J19" s="370">
        <f>SUM(J16:J18)</f>
        <v>10912646</v>
      </c>
      <c r="K19" s="370">
        <f>SUM(K16:K18)</f>
        <v>0</v>
      </c>
      <c r="L19" s="370">
        <f>SUM(L16:L18)</f>
        <v>0</v>
      </c>
      <c r="M19" s="370">
        <f t="shared" si="3"/>
        <v>0</v>
      </c>
      <c r="N19" s="370">
        <f t="shared" si="3"/>
        <v>0</v>
      </c>
    </row>
    <row r="20" spans="1:14" ht="22.5" customHeight="1" thickBot="1">
      <c r="A20" s="292" t="s">
        <v>163</v>
      </c>
      <c r="B20" s="371">
        <f aca="true" t="shared" si="4" ref="B20:G20">B15+B19</f>
        <v>797443603</v>
      </c>
      <c r="C20" s="371">
        <f>C15+C19</f>
        <v>783991376</v>
      </c>
      <c r="D20" s="371">
        <f>D15+D19</f>
        <v>-297693855</v>
      </c>
      <c r="E20" s="371">
        <f>E15+E19</f>
        <v>-297693855</v>
      </c>
      <c r="F20" s="371">
        <f t="shared" si="4"/>
        <v>-66069503</v>
      </c>
      <c r="G20" s="371">
        <f t="shared" si="4"/>
        <v>0</v>
      </c>
      <c r="H20" s="354" t="s">
        <v>164</v>
      </c>
      <c r="I20" s="371">
        <f aca="true" t="shared" si="5" ref="I20:N20">I15+I19</f>
        <v>660506671</v>
      </c>
      <c r="J20" s="371">
        <f>J15+J19</f>
        <v>660314871</v>
      </c>
      <c r="K20" s="371">
        <f>K15+K19</f>
        <v>0</v>
      </c>
      <c r="L20" s="371">
        <f>L15+L19</f>
        <v>0</v>
      </c>
      <c r="M20" s="371">
        <f t="shared" si="5"/>
        <v>57410165</v>
      </c>
      <c r="N20" s="371">
        <f t="shared" si="5"/>
        <v>0</v>
      </c>
    </row>
    <row r="21" spans="1:11" ht="22.5" customHeight="1" thickBot="1">
      <c r="A21" s="1264" t="s">
        <v>194</v>
      </c>
      <c r="B21" s="1265"/>
      <c r="C21" s="1265"/>
      <c r="D21" s="1265"/>
      <c r="E21" s="1265"/>
      <c r="F21" s="1265"/>
      <c r="G21" s="1265"/>
      <c r="H21" s="1264"/>
      <c r="I21" s="1265"/>
      <c r="J21" s="18"/>
      <c r="K21" s="18"/>
    </row>
    <row r="22" spans="1:16" ht="25.5">
      <c r="A22" s="284" t="s">
        <v>165</v>
      </c>
      <c r="B22" s="372">
        <f>'3.sz.m Önk  bev.'!E42</f>
        <v>1074492</v>
      </c>
      <c r="C22" s="372">
        <f>'3.sz.m Önk  bev.'!F42</f>
        <v>1074492</v>
      </c>
      <c r="D22" s="372">
        <f>'3.sz.m Önk  bev.'!G42</f>
        <v>0</v>
      </c>
      <c r="E22" s="372">
        <f>'3.sz.m Önk  bev.'!H42</f>
        <v>0</v>
      </c>
      <c r="F22" s="372">
        <f>'3.sz.m Önk  bev.'!I42+'5.1 sz. m Köz Hiv'!H19+'5.2 sz. m ÁMK'!H22</f>
        <v>164800474</v>
      </c>
      <c r="G22" s="372">
        <f>'3.sz.m Önk  bev.'!J42+'5.1 sz. m Köz Hiv'!I19+'5.2 sz. m ÁMK'!I22</f>
        <v>0</v>
      </c>
      <c r="H22" s="355" t="s">
        <v>167</v>
      </c>
      <c r="I22" s="377">
        <f>'4.sz.m.ÖNK kiadás'!E19+'5.1 sz. m Köz Hiv'!D42+'5.2 sz. m ÁMK'!D45</f>
        <v>63700312</v>
      </c>
      <c r="J22" s="377">
        <f>'4.sz.m.ÖNK kiadás'!F19+'5.1 sz. m Köz Hiv'!E42+'5.2 sz. m ÁMK'!E45</f>
        <v>61481836</v>
      </c>
      <c r="K22" s="377">
        <f>'4.sz.m.ÖNK kiadás'!G19+'5.1 sz. m Köz Hiv'!F42+'5.2 sz. m ÁMK'!F45</f>
        <v>0</v>
      </c>
      <c r="L22" s="377">
        <f>'4.sz.m.ÖNK kiadás'!H19+'5.1 sz. m Köz Hiv'!G42+'5.2 sz. m ÁMK'!G45</f>
        <v>0</v>
      </c>
      <c r="M22" s="377">
        <f>'4.sz.m.ÖNK kiadás'!I19+'5.1 sz. m Köz Hiv'!H42+'5.2 sz. m ÁMK'!H45</f>
        <v>0</v>
      </c>
      <c r="N22" s="377">
        <f>'4.sz.m.ÖNK kiadás'!J19+'5.1 sz. m Köz Hiv'!I42+'5.2 sz. m ÁMK'!I45</f>
        <v>0</v>
      </c>
      <c r="O22" s="18"/>
      <c r="P22" s="18"/>
    </row>
    <row r="23" spans="1:15" ht="25.5">
      <c r="A23" s="285" t="s">
        <v>441</v>
      </c>
      <c r="B23" s="365">
        <f>+'3.sz.m Önk  bev.'!E52</f>
        <v>300000</v>
      </c>
      <c r="C23" s="365">
        <f>+'3.sz.m Önk  bev.'!F52</f>
        <v>300000</v>
      </c>
      <c r="D23" s="365">
        <f>+'3.sz.m Önk  bev.'!G52</f>
        <v>0</v>
      </c>
      <c r="E23" s="365">
        <f>+'3.sz.m Önk  bev.'!H52</f>
        <v>0</v>
      </c>
      <c r="F23" s="365">
        <f>'3.sz.m Önk  bev.'!I52</f>
        <v>200000</v>
      </c>
      <c r="G23" s="365">
        <f>'3.sz.m Önk  bev.'!J52</f>
        <v>0</v>
      </c>
      <c r="H23" s="349" t="s">
        <v>168</v>
      </c>
      <c r="I23" s="365">
        <f>'4.sz.m.ÖNK kiadás'!E20</f>
        <v>196331430</v>
      </c>
      <c r="J23" s="365">
        <f>'4.sz.m.ÖNK kiadás'!F20</f>
        <v>185289479</v>
      </c>
      <c r="K23" s="365">
        <f>'4.sz.m.ÖNK kiadás'!G20</f>
        <v>0</v>
      </c>
      <c r="L23" s="365">
        <f>'4.sz.m.ÖNK kiadás'!H20</f>
        <v>0</v>
      </c>
      <c r="M23" s="365">
        <f>'4.sz.m.ÖNK kiadás'!I20+'5.2 sz. m ÁMK'!H47</f>
        <v>0</v>
      </c>
      <c r="N23" s="365">
        <f>'4.sz.m.ÖNK kiadás'!J20+'5.2 sz. m ÁMK'!I47</f>
        <v>0</v>
      </c>
      <c r="O23" s="18"/>
    </row>
    <row r="24" spans="1:14" ht="12.75">
      <c r="A24" s="285" t="s">
        <v>166</v>
      </c>
      <c r="B24" s="365">
        <f>'3.sz.m Önk  bev.'!E54</f>
        <v>600000</v>
      </c>
      <c r="C24" s="365">
        <f>'3.sz.m Önk  bev.'!F54</f>
        <v>600000</v>
      </c>
      <c r="D24" s="365">
        <f>'3.sz.m Önk  bev.'!G54</f>
        <v>0</v>
      </c>
      <c r="E24" s="365">
        <f>'3.sz.m Önk  bev.'!H54</f>
        <v>0</v>
      </c>
      <c r="F24" s="365">
        <f>'3.sz.m Önk  bev.'!I53</f>
        <v>0</v>
      </c>
      <c r="G24" s="365">
        <f>'3.sz.m Önk  bev.'!J53</f>
        <v>0</v>
      </c>
      <c r="H24" s="349" t="s">
        <v>169</v>
      </c>
      <c r="I24" s="365">
        <f>'4.sz.m.ÖNK kiadás'!E21</f>
        <v>6000000</v>
      </c>
      <c r="J24" s="365">
        <f>'4.sz.m.ÖNK kiadás'!F21</f>
        <v>6000000</v>
      </c>
      <c r="K24" s="365">
        <f>'4.sz.m.ÖNK kiadás'!G21</f>
        <v>0</v>
      </c>
      <c r="L24" s="365">
        <f>'4.sz.m.ÖNK kiadás'!H21</f>
        <v>0</v>
      </c>
      <c r="M24" s="365">
        <f>'4.sz.m.ÖNK kiadás'!I21</f>
        <v>0</v>
      </c>
      <c r="N24" s="365">
        <f>'4.sz.m.ÖNK kiadás'!J21</f>
        <v>0</v>
      </c>
    </row>
    <row r="25" spans="1:15" ht="13.5" thickBot="1">
      <c r="A25" s="285"/>
      <c r="B25" s="365"/>
      <c r="C25" s="365"/>
      <c r="D25" s="365"/>
      <c r="E25" s="365"/>
      <c r="F25" s="365"/>
      <c r="G25" s="365"/>
      <c r="H25" s="349" t="s">
        <v>176</v>
      </c>
      <c r="I25" s="365"/>
      <c r="J25" s="365"/>
      <c r="K25" s="365"/>
      <c r="L25" s="365"/>
      <c r="M25" s="365"/>
      <c r="N25" s="365"/>
      <c r="O25" s="18"/>
    </row>
    <row r="26" spans="1:14" ht="13.5" hidden="1" thickBot="1">
      <c r="A26" s="294"/>
      <c r="B26" s="366"/>
      <c r="C26" s="366"/>
      <c r="D26" s="366"/>
      <c r="E26" s="366"/>
      <c r="F26" s="366"/>
      <c r="G26" s="366"/>
      <c r="H26" s="351"/>
      <c r="I26" s="366"/>
      <c r="J26" s="366"/>
      <c r="K26" s="366"/>
      <c r="L26" s="366"/>
      <c r="M26" s="366"/>
      <c r="N26" s="366"/>
    </row>
    <row r="27" spans="1:14" ht="13.5" thickBot="1">
      <c r="A27" s="295" t="s">
        <v>180</v>
      </c>
      <c r="B27" s="371">
        <f aca="true" t="shared" si="6" ref="B27:G27">SUM(B22:B25)</f>
        <v>1974492</v>
      </c>
      <c r="C27" s="371">
        <f>SUM(C22:C25)</f>
        <v>1974492</v>
      </c>
      <c r="D27" s="371">
        <f>SUM(D22:D25)</f>
        <v>0</v>
      </c>
      <c r="E27" s="371">
        <f>SUM(E22:E25)</f>
        <v>0</v>
      </c>
      <c r="F27" s="371">
        <f t="shared" si="6"/>
        <v>165000474</v>
      </c>
      <c r="G27" s="371">
        <f t="shared" si="6"/>
        <v>0</v>
      </c>
      <c r="H27" s="356" t="s">
        <v>179</v>
      </c>
      <c r="I27" s="379">
        <f aca="true" t="shared" si="7" ref="I27:N27">SUM(I22:I26)</f>
        <v>266031742</v>
      </c>
      <c r="J27" s="379">
        <f>SUM(J22:J26)</f>
        <v>252771315</v>
      </c>
      <c r="K27" s="379">
        <f>SUM(K22:K26)</f>
        <v>0</v>
      </c>
      <c r="L27" s="379">
        <f>SUM(L22:L26)</f>
        <v>0</v>
      </c>
      <c r="M27" s="379">
        <f t="shared" si="7"/>
        <v>0</v>
      </c>
      <c r="N27" s="379">
        <f t="shared" si="7"/>
        <v>0</v>
      </c>
    </row>
    <row r="28" spans="1:14" ht="15" customHeight="1">
      <c r="A28" s="289" t="s">
        <v>433</v>
      </c>
      <c r="B28" s="1157">
        <f>+'6.a.sz.m.fejlesztés (4)'!L29+'6.a.sz.m.fejlesztés (4)'!L30+'6.a.sz.m.fejlesztés (4)'!L31+'6.a.sz.m.fejlesztés (4)'!L10+'6.a.sz.m.fejlesztés (4)'!L33+'6.a.sz.m.fejlesztés (4)'!L9</f>
        <v>127120318</v>
      </c>
      <c r="C28" s="1157">
        <f>+'6.a.sz.m.fejlesztés (4)'!M29+'6.a.sz.m.fejlesztés (4)'!M30+'6.a.sz.m.fejlesztés (4)'!M31+'6.a.sz.m.fejlesztés (4)'!M10+'6.a.sz.m.fejlesztés (4)'!M33+'6.a.sz.m.fejlesztés (4)'!M9</f>
        <v>127120318</v>
      </c>
      <c r="D28" s="373">
        <f>257870073+39823782</f>
        <v>297693855</v>
      </c>
      <c r="E28" s="373">
        <f>257870073+39823782</f>
        <v>297693855</v>
      </c>
      <c r="F28" s="373">
        <f>10090000+8316000+2061005+36229733+9632765</f>
        <v>66329503</v>
      </c>
      <c r="G28" s="373"/>
      <c r="H28" s="357" t="s">
        <v>181</v>
      </c>
      <c r="I28" s="364">
        <f>'4.sz.m.ÖNK kiadás'!E34</f>
        <v>0</v>
      </c>
      <c r="J28" s="364">
        <f>'4.sz.m.ÖNK kiadás'!F34</f>
        <v>0</v>
      </c>
      <c r="K28" s="364">
        <f>'4.sz.m.ÖNK kiadás'!G34</f>
        <v>0</v>
      </c>
      <c r="L28" s="364">
        <f>'4.sz.m.ÖNK kiadás'!H34</f>
        <v>0</v>
      </c>
      <c r="M28" s="364">
        <f>'4.sz.m.ÖNK kiadás'!I34</f>
        <v>0</v>
      </c>
      <c r="N28" s="364">
        <f>'4.sz.m.ÖNK kiadás'!J34</f>
        <v>0</v>
      </c>
    </row>
    <row r="29" spans="1:14" ht="13.5" thickBot="1">
      <c r="A29" s="290" t="s">
        <v>162</v>
      </c>
      <c r="B29" s="374">
        <f>'3.sz.m Önk  bev.'!E58</f>
        <v>0</v>
      </c>
      <c r="C29" s="374">
        <f>'3.sz.m Önk  bev.'!F58</f>
        <v>0</v>
      </c>
      <c r="D29" s="374">
        <f>'3.sz.m Önk  bev.'!G58</f>
        <v>0</v>
      </c>
      <c r="E29" s="374"/>
      <c r="F29" s="374">
        <f>'3.sz.m Önk  bev.'!I58</f>
        <v>0</v>
      </c>
      <c r="G29" s="374"/>
      <c r="H29" s="358" t="s">
        <v>438</v>
      </c>
      <c r="I29" s="366"/>
      <c r="J29" s="366"/>
      <c r="K29" s="366"/>
      <c r="L29" s="366"/>
      <c r="M29" s="366"/>
      <c r="N29" s="366"/>
    </row>
    <row r="30" spans="1:15" ht="25.5" customHeight="1" thickBot="1">
      <c r="A30" s="296" t="s">
        <v>183</v>
      </c>
      <c r="B30" s="370">
        <f aca="true" t="shared" si="8" ref="B30:G30">SUM(B28:B29)</f>
        <v>127120318</v>
      </c>
      <c r="C30" s="370">
        <f>SUM(C28:C29)</f>
        <v>127120318</v>
      </c>
      <c r="D30" s="370">
        <f>SUM(D28:D29)</f>
        <v>297693855</v>
      </c>
      <c r="E30" s="370">
        <f>SUM(E28:E29)</f>
        <v>297693855</v>
      </c>
      <c r="F30" s="370">
        <f t="shared" si="8"/>
        <v>66329503</v>
      </c>
      <c r="G30" s="370">
        <f t="shared" si="8"/>
        <v>0</v>
      </c>
      <c r="H30" s="356" t="s">
        <v>184</v>
      </c>
      <c r="I30" s="371">
        <f aca="true" t="shared" si="9" ref="I30:N30">SUM(I28:I29)</f>
        <v>0</v>
      </c>
      <c r="J30" s="371">
        <f>SUM(J28:J29)</f>
        <v>0</v>
      </c>
      <c r="K30" s="371">
        <f>SUM(K28:K29)</f>
        <v>0</v>
      </c>
      <c r="L30" s="371">
        <f>SUM(L28:L29)</f>
        <v>0</v>
      </c>
      <c r="M30" s="371">
        <f t="shared" si="9"/>
        <v>0</v>
      </c>
      <c r="N30" s="371">
        <f t="shared" si="9"/>
        <v>0</v>
      </c>
      <c r="O30" s="18"/>
    </row>
    <row r="31" spans="1:15" ht="26.25" customHeight="1" thickBot="1">
      <c r="A31" s="293" t="s">
        <v>185</v>
      </c>
      <c r="B31" s="371">
        <f aca="true" t="shared" si="10" ref="B31:G31">B27+B30</f>
        <v>129094810</v>
      </c>
      <c r="C31" s="371">
        <f>C27+C30</f>
        <v>129094810</v>
      </c>
      <c r="D31" s="371">
        <f>D27+D30</f>
        <v>297693855</v>
      </c>
      <c r="E31" s="371">
        <f>E27+E30</f>
        <v>297693855</v>
      </c>
      <c r="F31" s="371">
        <f t="shared" si="10"/>
        <v>231329977</v>
      </c>
      <c r="G31" s="371">
        <f t="shared" si="10"/>
        <v>0</v>
      </c>
      <c r="H31" s="359" t="s">
        <v>186</v>
      </c>
      <c r="I31" s="371">
        <f aca="true" t="shared" si="11" ref="I31:N31">I30+I27</f>
        <v>266031742</v>
      </c>
      <c r="J31" s="371">
        <f>J30+J27</f>
        <v>252771315</v>
      </c>
      <c r="K31" s="371">
        <f>K30+K27</f>
        <v>0</v>
      </c>
      <c r="L31" s="371">
        <f>L30+L27</f>
        <v>0</v>
      </c>
      <c r="M31" s="371">
        <f t="shared" si="11"/>
        <v>0</v>
      </c>
      <c r="N31" s="371">
        <f t="shared" si="11"/>
        <v>0</v>
      </c>
      <c r="O31" s="18"/>
    </row>
    <row r="32" spans="1:14" ht="26.25" customHeight="1" hidden="1" thickBot="1">
      <c r="A32" s="293" t="s">
        <v>227</v>
      </c>
      <c r="B32" s="375"/>
      <c r="C32" s="375"/>
      <c r="D32" s="375"/>
      <c r="E32" s="375"/>
      <c r="F32" s="375"/>
      <c r="G32" s="375"/>
      <c r="H32" s="359" t="s">
        <v>226</v>
      </c>
      <c r="I32" s="371"/>
      <c r="J32" s="371"/>
      <c r="K32" s="371"/>
      <c r="L32" s="371"/>
      <c r="M32" s="371"/>
      <c r="N32" s="371"/>
    </row>
    <row r="33" spans="1:14" ht="29.25" customHeight="1" thickBot="1">
      <c r="A33" s="297" t="s">
        <v>187</v>
      </c>
      <c r="B33" s="376">
        <f aca="true" t="shared" si="12" ref="B33:G33">B20+B31</f>
        <v>926538413</v>
      </c>
      <c r="C33" s="376">
        <f>C20+C31</f>
        <v>913086186</v>
      </c>
      <c r="D33" s="376">
        <f>D20+D31</f>
        <v>0</v>
      </c>
      <c r="E33" s="376">
        <f>E20+E31</f>
        <v>0</v>
      </c>
      <c r="F33" s="376">
        <f t="shared" si="12"/>
        <v>165260474</v>
      </c>
      <c r="G33" s="376">
        <f t="shared" si="12"/>
        <v>0</v>
      </c>
      <c r="H33" s="360" t="s">
        <v>188</v>
      </c>
      <c r="I33" s="380">
        <f aca="true" t="shared" si="13" ref="I33:N33">I31+I20</f>
        <v>926538413</v>
      </c>
      <c r="J33" s="380">
        <f>J31+J20</f>
        <v>913086186</v>
      </c>
      <c r="K33" s="380">
        <f>K31+K20</f>
        <v>0</v>
      </c>
      <c r="L33" s="380">
        <f>L31+L20</f>
        <v>0</v>
      </c>
      <c r="M33" s="380">
        <f t="shared" si="13"/>
        <v>57410165</v>
      </c>
      <c r="N33" s="380">
        <f t="shared" si="13"/>
        <v>0</v>
      </c>
    </row>
    <row r="35" spans="2:12" ht="12.75">
      <c r="B35" s="18"/>
      <c r="C35" s="18"/>
      <c r="D35" s="18"/>
      <c r="E35" s="18"/>
      <c r="F35" s="18"/>
      <c r="G35" s="18"/>
      <c r="I35" s="18"/>
      <c r="K35" s="18"/>
      <c r="L35" s="18"/>
    </row>
    <row r="36" spans="2:14" ht="12.75">
      <c r="B36" s="18"/>
      <c r="C36" s="18"/>
      <c r="E36" s="18"/>
      <c r="F36" s="18"/>
      <c r="L36" s="18"/>
      <c r="M36" s="18"/>
      <c r="N36" s="18"/>
    </row>
    <row r="37" spans="3:9" ht="12.75">
      <c r="C37" s="18"/>
      <c r="H37" s="18"/>
      <c r="I37" s="18"/>
    </row>
    <row r="38" ht="12.75">
      <c r="C38" s="18"/>
    </row>
    <row r="39" ht="12.75">
      <c r="C39" s="18"/>
    </row>
  </sheetData>
  <sheetProtection/>
  <mergeCells count="4">
    <mergeCell ref="A3:I3"/>
    <mergeCell ref="A21:I21"/>
    <mergeCell ref="A5:I5"/>
    <mergeCell ref="H1:M1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scale="61" r:id="rId1"/>
  <colBreaks count="1" manualBreakCount="1">
    <brk id="13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2"/>
  <sheetViews>
    <sheetView zoomScale="75" zoomScaleNormal="75" zoomScalePageLayoutView="0" workbookViewId="0" topLeftCell="A1">
      <selection activeCell="T3" sqref="T3"/>
    </sheetView>
  </sheetViews>
  <sheetFormatPr defaultColWidth="9.140625" defaultRowHeight="12.75"/>
  <cols>
    <col min="1" max="2" width="5.7109375" style="975" customWidth="1"/>
    <col min="3" max="3" width="8.8515625" style="975" customWidth="1"/>
    <col min="4" max="4" width="56.00390625" style="976" bestFit="1" customWidth="1"/>
    <col min="5" max="5" width="22.57421875" style="275" customWidth="1"/>
    <col min="6" max="6" width="19.00390625" style="275" customWidth="1"/>
    <col min="7" max="7" width="17.421875" style="275" hidden="1" customWidth="1"/>
    <col min="8" max="11" width="17.8515625" style="275" hidden="1" customWidth="1"/>
    <col min="12" max="13" width="17.8515625" style="275" customWidth="1"/>
    <col min="14" max="18" width="17.8515625" style="275" hidden="1" customWidth="1"/>
    <col min="19" max="19" width="17.8515625" style="918" customWidth="1"/>
    <col min="20" max="20" width="17.8515625" style="275" customWidth="1"/>
    <col min="21" max="22" width="17.8515625" style="275" hidden="1" customWidth="1"/>
    <col min="23" max="25" width="17.8515625" style="918" hidden="1" customWidth="1"/>
    <col min="26" max="26" width="17.8515625" style="918" customWidth="1"/>
    <col min="27" max="16384" width="9.140625" style="918" customWidth="1"/>
  </cols>
  <sheetData>
    <row r="1" spans="1:23" ht="12.75">
      <c r="A1" s="916"/>
      <c r="B1" s="916"/>
      <c r="C1" s="916"/>
      <c r="D1" s="917"/>
      <c r="S1" s="1273" t="s">
        <v>509</v>
      </c>
      <c r="T1" s="1273"/>
      <c r="U1" s="1273"/>
      <c r="V1" s="1273"/>
      <c r="W1" s="1273"/>
    </row>
    <row r="2" spans="1:23" ht="12.75">
      <c r="A2" s="916"/>
      <c r="B2" s="916"/>
      <c r="C2" s="916"/>
      <c r="D2" s="917"/>
      <c r="S2" s="1184"/>
      <c r="T2" s="1184" t="s">
        <v>632</v>
      </c>
      <c r="U2" s="1184"/>
      <c r="V2" s="1184"/>
      <c r="W2" s="1184"/>
    </row>
    <row r="3" spans="1:22" s="921" customFormat="1" ht="34.5" customHeight="1">
      <c r="A3" s="1276" t="s">
        <v>572</v>
      </c>
      <c r="B3" s="1276"/>
      <c r="C3" s="1276"/>
      <c r="D3" s="1276"/>
      <c r="E3" s="1276"/>
      <c r="F3" s="1276"/>
      <c r="G3" s="1276"/>
      <c r="H3" s="1276"/>
      <c r="I3" s="1276"/>
      <c r="J3" s="1276"/>
      <c r="K3" s="1276"/>
      <c r="L3" s="1276"/>
      <c r="M3" s="1276"/>
      <c r="N3" s="1276"/>
      <c r="O3" s="1276"/>
      <c r="P3" s="1276"/>
      <c r="Q3" s="1276"/>
      <c r="R3" s="1276"/>
      <c r="S3" s="1276"/>
      <c r="T3" s="919"/>
      <c r="U3" s="920"/>
      <c r="V3" s="920"/>
    </row>
    <row r="4" spans="1:19" ht="13.5" thickBot="1">
      <c r="A4" s="922"/>
      <c r="B4" s="922"/>
      <c r="C4" s="922"/>
      <c r="D4" s="923"/>
      <c r="L4" s="924"/>
      <c r="M4" s="924"/>
      <c r="N4" s="924"/>
      <c r="O4" s="924"/>
      <c r="P4" s="924"/>
      <c r="Q4" s="924"/>
      <c r="R4" s="924"/>
      <c r="S4" s="19" t="s">
        <v>429</v>
      </c>
    </row>
    <row r="5" spans="1:25" ht="45.75" customHeight="1" thickBot="1">
      <c r="A5" s="1195" t="s">
        <v>5</v>
      </c>
      <c r="B5" s="1196"/>
      <c r="C5" s="1196"/>
      <c r="D5" s="280" t="s">
        <v>8</v>
      </c>
      <c r="E5" s="1198" t="s">
        <v>4</v>
      </c>
      <c r="F5" s="1199"/>
      <c r="G5" s="1199"/>
      <c r="H5" s="1199"/>
      <c r="I5" s="1199"/>
      <c r="J5" s="1199"/>
      <c r="K5" s="1200"/>
      <c r="L5" s="1198" t="s">
        <v>58</v>
      </c>
      <c r="M5" s="1199"/>
      <c r="N5" s="1199"/>
      <c r="O5" s="1199"/>
      <c r="P5" s="1199"/>
      <c r="Q5" s="1199"/>
      <c r="R5" s="1200"/>
      <c r="S5" s="1198" t="s">
        <v>59</v>
      </c>
      <c r="T5" s="1199"/>
      <c r="U5" s="1199"/>
      <c r="V5" s="1199"/>
      <c r="W5" s="1199"/>
      <c r="X5" s="1199"/>
      <c r="Y5" s="1200"/>
    </row>
    <row r="6" spans="1:25" ht="45.75" customHeight="1" thickBot="1">
      <c r="A6" s="262"/>
      <c r="B6" s="263"/>
      <c r="C6" s="263"/>
      <c r="D6" s="280"/>
      <c r="E6" s="314" t="s">
        <v>62</v>
      </c>
      <c r="F6" s="315" t="s">
        <v>214</v>
      </c>
      <c r="G6" s="315" t="s">
        <v>219</v>
      </c>
      <c r="H6" s="315" t="s">
        <v>221</v>
      </c>
      <c r="I6" s="315" t="s">
        <v>419</v>
      </c>
      <c r="J6" s="315" t="s">
        <v>422</v>
      </c>
      <c r="K6" s="316" t="s">
        <v>418</v>
      </c>
      <c r="L6" s="314" t="s">
        <v>62</v>
      </c>
      <c r="M6" s="315" t="s">
        <v>214</v>
      </c>
      <c r="N6" s="315" t="s">
        <v>219</v>
      </c>
      <c r="O6" s="315" t="s">
        <v>221</v>
      </c>
      <c r="P6" s="315" t="s">
        <v>419</v>
      </c>
      <c r="Q6" s="315" t="s">
        <v>423</v>
      </c>
      <c r="R6" s="316" t="s">
        <v>418</v>
      </c>
      <c r="S6" s="314" t="s">
        <v>62</v>
      </c>
      <c r="T6" s="315" t="s">
        <v>214</v>
      </c>
      <c r="U6" s="315" t="s">
        <v>219</v>
      </c>
      <c r="V6" s="315" t="s">
        <v>221</v>
      </c>
      <c r="W6" s="315" t="s">
        <v>419</v>
      </c>
      <c r="X6" s="315" t="s">
        <v>423</v>
      </c>
      <c r="Y6" s="316" t="s">
        <v>418</v>
      </c>
    </row>
    <row r="7" spans="1:25" s="928" customFormat="1" ht="21.75" customHeight="1" thickBot="1">
      <c r="A7" s="67"/>
      <c r="B7" s="1197"/>
      <c r="C7" s="1197"/>
      <c r="D7" s="1197"/>
      <c r="E7" s="925"/>
      <c r="F7" s="926"/>
      <c r="G7" s="926"/>
      <c r="H7" s="926"/>
      <c r="I7" s="926"/>
      <c r="J7" s="926"/>
      <c r="K7" s="927"/>
      <c r="L7" s="925"/>
      <c r="M7" s="926"/>
      <c r="N7" s="926"/>
      <c r="O7" s="926"/>
      <c r="P7" s="926"/>
      <c r="Q7" s="926"/>
      <c r="R7" s="927"/>
      <c r="S7" s="925"/>
      <c r="T7" s="925"/>
      <c r="U7" s="926"/>
      <c r="V7" s="926"/>
      <c r="W7" s="926"/>
      <c r="X7" s="926"/>
      <c r="Y7" s="927"/>
    </row>
    <row r="8" spans="1:25" s="928" customFormat="1" ht="21.75" customHeight="1" thickBot="1">
      <c r="A8" s="67" t="s">
        <v>26</v>
      </c>
      <c r="B8" s="1197" t="s">
        <v>268</v>
      </c>
      <c r="C8" s="1197"/>
      <c r="D8" s="1197"/>
      <c r="E8" s="925">
        <f aca="true" t="shared" si="0" ref="E8:J8">E9+E14+E17+E18+E21</f>
        <v>219910000</v>
      </c>
      <c r="F8" s="925">
        <f>F9+F14+F17+F18+F21</f>
        <v>206228365</v>
      </c>
      <c r="G8" s="925">
        <f>G9+G14+G17+G18+G21</f>
        <v>0</v>
      </c>
      <c r="H8" s="925">
        <f>H9+H14+H17+H18+H21</f>
        <v>0</v>
      </c>
      <c r="I8" s="926">
        <f t="shared" si="0"/>
        <v>0</v>
      </c>
      <c r="J8" s="926">
        <f t="shared" si="0"/>
        <v>0</v>
      </c>
      <c r="K8" s="929" t="e">
        <f>J8/I8</f>
        <v>#DIV/0!</v>
      </c>
      <c r="L8" s="926">
        <f aca="true" t="shared" si="1" ref="L8:R8">L9+L14+L17+L18+L21</f>
        <v>205233131</v>
      </c>
      <c r="M8" s="926">
        <f>M9+M14+M17+M18+M21</f>
        <v>183591717</v>
      </c>
      <c r="N8" s="926">
        <f>N9+N14+N17+N18+N21</f>
        <v>-20665627</v>
      </c>
      <c r="O8" s="926">
        <f t="shared" si="1"/>
        <v>-28275182</v>
      </c>
      <c r="P8" s="926">
        <f t="shared" si="1"/>
        <v>-8082874</v>
      </c>
      <c r="Q8" s="926">
        <f t="shared" si="1"/>
        <v>-19769631</v>
      </c>
      <c r="R8" s="927">
        <f t="shared" si="1"/>
        <v>100000003.71413538</v>
      </c>
      <c r="S8" s="925">
        <f aca="true" t="shared" si="2" ref="S8:X8">S9+S14+S17</f>
        <v>14676869</v>
      </c>
      <c r="T8" s="925">
        <f>T9+T14+T17</f>
        <v>22636648</v>
      </c>
      <c r="U8" s="925">
        <f>U9+U14+U17</f>
        <v>20665627</v>
      </c>
      <c r="V8" s="925">
        <f>V9+V14+V17</f>
        <v>28275182</v>
      </c>
      <c r="W8" s="926">
        <f t="shared" si="2"/>
        <v>8082874</v>
      </c>
      <c r="X8" s="926">
        <f t="shared" si="2"/>
        <v>19769631</v>
      </c>
      <c r="Y8" s="929">
        <f>W8/V8</f>
        <v>0.28586461441698235</v>
      </c>
    </row>
    <row r="9" spans="1:25" ht="21.75" customHeight="1">
      <c r="A9" s="930"/>
      <c r="B9" s="207" t="s">
        <v>34</v>
      </c>
      <c r="C9" s="1215" t="s">
        <v>269</v>
      </c>
      <c r="D9" s="1215"/>
      <c r="E9" s="931">
        <f aca="true" t="shared" si="3" ref="E9:J9">SUM(E10:E13)</f>
        <v>19350000</v>
      </c>
      <c r="F9" s="931">
        <f>SUM(F10:F13)</f>
        <v>19350000</v>
      </c>
      <c r="G9" s="931">
        <f>SUM(G10:G13)</f>
        <v>0</v>
      </c>
      <c r="H9" s="931">
        <f>SUM(H10:H13)</f>
        <v>0</v>
      </c>
      <c r="I9" s="932">
        <f t="shared" si="3"/>
        <v>0</v>
      </c>
      <c r="J9" s="931">
        <f t="shared" si="3"/>
        <v>0</v>
      </c>
      <c r="K9" s="933" t="e">
        <f>J9/I9</f>
        <v>#DIV/0!</v>
      </c>
      <c r="L9" s="932">
        <f aca="true" t="shared" si="4" ref="L9:R9">SUM(L10:L13)</f>
        <v>19350000</v>
      </c>
      <c r="M9" s="932">
        <f>SUM(M10:M13)</f>
        <v>19350000</v>
      </c>
      <c r="N9" s="932">
        <f>SUM(N10:N13)</f>
        <v>0</v>
      </c>
      <c r="O9" s="932">
        <f t="shared" si="4"/>
        <v>0</v>
      </c>
      <c r="P9" s="932">
        <f t="shared" si="4"/>
        <v>0</v>
      </c>
      <c r="Q9" s="932">
        <f t="shared" si="4"/>
        <v>0</v>
      </c>
      <c r="R9" s="934">
        <f t="shared" si="4"/>
        <v>0</v>
      </c>
      <c r="S9" s="931">
        <v>0</v>
      </c>
      <c r="T9" s="931">
        <v>0</v>
      </c>
      <c r="U9" s="931">
        <v>0</v>
      </c>
      <c r="V9" s="931">
        <v>0</v>
      </c>
      <c r="W9" s="932">
        <v>0</v>
      </c>
      <c r="X9" s="932"/>
      <c r="Y9" s="933"/>
    </row>
    <row r="10" spans="1:25" ht="21.75" customHeight="1">
      <c r="A10" s="935"/>
      <c r="B10" s="60"/>
      <c r="C10" s="60" t="s">
        <v>274</v>
      </c>
      <c r="D10" s="281" t="s">
        <v>270</v>
      </c>
      <c r="E10" s="936">
        <v>0</v>
      </c>
      <c r="F10" s="936">
        <v>0</v>
      </c>
      <c r="G10" s="936">
        <v>0</v>
      </c>
      <c r="H10" s="936">
        <v>0</v>
      </c>
      <c r="I10" s="937">
        <v>0</v>
      </c>
      <c r="J10" s="937">
        <v>0</v>
      </c>
      <c r="K10" s="938"/>
      <c r="L10" s="937">
        <v>0</v>
      </c>
      <c r="M10" s="937">
        <v>0</v>
      </c>
      <c r="N10" s="937">
        <v>0</v>
      </c>
      <c r="O10" s="937">
        <v>0</v>
      </c>
      <c r="P10" s="937">
        <v>0</v>
      </c>
      <c r="Q10" s="937">
        <v>0</v>
      </c>
      <c r="R10" s="939">
        <v>0</v>
      </c>
      <c r="S10" s="936">
        <v>0</v>
      </c>
      <c r="T10" s="936">
        <v>0</v>
      </c>
      <c r="U10" s="936">
        <v>0</v>
      </c>
      <c r="V10" s="936">
        <v>0</v>
      </c>
      <c r="W10" s="937">
        <v>0</v>
      </c>
      <c r="X10" s="937"/>
      <c r="Y10" s="673"/>
    </row>
    <row r="11" spans="1:25" ht="21.75" customHeight="1" thickBot="1">
      <c r="A11" s="935"/>
      <c r="B11" s="60"/>
      <c r="C11" s="60" t="s">
        <v>275</v>
      </c>
      <c r="D11" s="281" t="s">
        <v>255</v>
      </c>
      <c r="E11" s="936">
        <v>0</v>
      </c>
      <c r="F11" s="936">
        <v>0</v>
      </c>
      <c r="G11" s="936">
        <v>0</v>
      </c>
      <c r="H11" s="936">
        <v>0</v>
      </c>
      <c r="I11" s="937">
        <v>0</v>
      </c>
      <c r="J11" s="937">
        <v>0</v>
      </c>
      <c r="K11" s="938"/>
      <c r="L11" s="937">
        <v>0</v>
      </c>
      <c r="M11" s="937">
        <v>0</v>
      </c>
      <c r="N11" s="937">
        <v>0</v>
      </c>
      <c r="O11" s="937">
        <v>0</v>
      </c>
      <c r="P11" s="937">
        <v>0</v>
      </c>
      <c r="Q11" s="937">
        <v>0</v>
      </c>
      <c r="R11" s="939">
        <v>0</v>
      </c>
      <c r="S11" s="936">
        <v>0</v>
      </c>
      <c r="T11" s="936">
        <v>0</v>
      </c>
      <c r="U11" s="936">
        <v>0</v>
      </c>
      <c r="V11" s="936">
        <v>0</v>
      </c>
      <c r="W11" s="937">
        <v>0</v>
      </c>
      <c r="X11" s="937"/>
      <c r="Y11" s="673"/>
    </row>
    <row r="12" spans="1:25" ht="21.75" customHeight="1">
      <c r="A12" s="935"/>
      <c r="B12" s="60"/>
      <c r="C12" s="60" t="s">
        <v>276</v>
      </c>
      <c r="D12" s="281" t="s">
        <v>254</v>
      </c>
      <c r="E12" s="936">
        <v>19350000</v>
      </c>
      <c r="F12" s="936">
        <v>19350000</v>
      </c>
      <c r="G12" s="936"/>
      <c r="H12" s="936"/>
      <c r="I12" s="937"/>
      <c r="J12" s="932"/>
      <c r="K12" s="938"/>
      <c r="L12" s="878">
        <f>E12</f>
        <v>19350000</v>
      </c>
      <c r="M12" s="878">
        <f>F12</f>
        <v>19350000</v>
      </c>
      <c r="N12" s="878">
        <f>G12</f>
        <v>0</v>
      </c>
      <c r="O12" s="937">
        <f>H12-V12</f>
        <v>0</v>
      </c>
      <c r="P12" s="937">
        <f>I12-W12</f>
        <v>0</v>
      </c>
      <c r="Q12" s="878">
        <f>J12</f>
        <v>0</v>
      </c>
      <c r="R12" s="899">
        <f>K12</f>
        <v>0</v>
      </c>
      <c r="S12" s="936">
        <v>0</v>
      </c>
      <c r="T12" s="936">
        <v>0</v>
      </c>
      <c r="U12" s="936">
        <v>0</v>
      </c>
      <c r="V12" s="936">
        <v>0</v>
      </c>
      <c r="W12" s="937">
        <v>0</v>
      </c>
      <c r="X12" s="937"/>
      <c r="Y12" s="673"/>
    </row>
    <row r="13" spans="1:35" ht="21.75" customHeight="1" hidden="1">
      <c r="A13" s="935"/>
      <c r="B13" s="60"/>
      <c r="C13" s="60"/>
      <c r="D13" s="281"/>
      <c r="E13" s="940"/>
      <c r="F13" s="940"/>
      <c r="G13" s="940"/>
      <c r="H13" s="940"/>
      <c r="I13" s="941"/>
      <c r="J13" s="941"/>
      <c r="K13" s="673" t="e">
        <f>J13/I13</f>
        <v>#DIV/0!</v>
      </c>
      <c r="L13" s="941"/>
      <c r="M13" s="941"/>
      <c r="N13" s="941"/>
      <c r="O13" s="941"/>
      <c r="P13" s="941"/>
      <c r="Q13" s="941"/>
      <c r="R13" s="942"/>
      <c r="S13" s="940"/>
      <c r="T13" s="940"/>
      <c r="U13" s="940"/>
      <c r="V13" s="940"/>
      <c r="W13" s="941"/>
      <c r="X13" s="941"/>
      <c r="Y13" s="673" t="e">
        <f>W13/V13</f>
        <v>#DIV/0!</v>
      </c>
      <c r="AI13" s="918" t="s">
        <v>230</v>
      </c>
    </row>
    <row r="14" spans="1:25" ht="21.75" customHeight="1">
      <c r="A14" s="935"/>
      <c r="B14" s="60" t="s">
        <v>35</v>
      </c>
      <c r="C14" s="1271" t="s">
        <v>271</v>
      </c>
      <c r="D14" s="1271"/>
      <c r="E14" s="940">
        <f aca="true" t="shared" si="5" ref="E14:J14">SUM(E15:E16)</f>
        <v>185000000</v>
      </c>
      <c r="F14" s="940">
        <f>SUM(F15:F16)</f>
        <v>185000000</v>
      </c>
      <c r="G14" s="940">
        <f>SUM(G15:G16)</f>
        <v>0</v>
      </c>
      <c r="H14" s="940">
        <f>SUM(H15:H16)</f>
        <v>0</v>
      </c>
      <c r="I14" s="941">
        <f t="shared" si="5"/>
        <v>0</v>
      </c>
      <c r="J14" s="941">
        <f t="shared" si="5"/>
        <v>0</v>
      </c>
      <c r="K14" s="673" t="e">
        <f>J14/I14</f>
        <v>#DIV/0!</v>
      </c>
      <c r="L14" s="941">
        <f>SUM(L15:L16)</f>
        <v>170323131</v>
      </c>
      <c r="M14" s="941">
        <f>SUM(M15:M16)</f>
        <v>162363352</v>
      </c>
      <c r="N14" s="941">
        <f>SUM(N15:N16)</f>
        <v>-20665627</v>
      </c>
      <c r="O14" s="941">
        <f aca="true" t="shared" si="6" ref="O14:X14">SUM(O15:O16)</f>
        <v>-28275182</v>
      </c>
      <c r="P14" s="941">
        <f t="shared" si="6"/>
        <v>-8082874</v>
      </c>
      <c r="Q14" s="941">
        <f t="shared" si="6"/>
        <v>-19769631</v>
      </c>
      <c r="R14" s="942">
        <f t="shared" si="6"/>
        <v>100000001.71413538</v>
      </c>
      <c r="S14" s="940">
        <f t="shared" si="6"/>
        <v>14676869</v>
      </c>
      <c r="T14" s="940">
        <f>SUM(T15:T16)</f>
        <v>22636648</v>
      </c>
      <c r="U14" s="940">
        <f>SUM(U15:U16)</f>
        <v>20665627</v>
      </c>
      <c r="V14" s="940">
        <f>SUM(V15:V16)</f>
        <v>28275182</v>
      </c>
      <c r="W14" s="941">
        <f t="shared" si="6"/>
        <v>8082874</v>
      </c>
      <c r="X14" s="941">
        <f t="shared" si="6"/>
        <v>19769631</v>
      </c>
      <c r="Y14" s="673">
        <f>W14/V14</f>
        <v>0.28586461441698235</v>
      </c>
    </row>
    <row r="15" spans="1:26" ht="21.75" customHeight="1">
      <c r="A15" s="935"/>
      <c r="B15" s="60"/>
      <c r="C15" s="60" t="s">
        <v>272</v>
      </c>
      <c r="D15" s="943" t="s">
        <v>469</v>
      </c>
      <c r="E15" s="936">
        <v>185000000</v>
      </c>
      <c r="F15" s="936">
        <v>185000000</v>
      </c>
      <c r="G15" s="936"/>
      <c r="H15" s="936"/>
      <c r="I15" s="937"/>
      <c r="J15" s="937"/>
      <c r="K15" s="938"/>
      <c r="L15" s="937">
        <f aca="true" t="shared" si="7" ref="L15:Q15">E15-S15</f>
        <v>170323131</v>
      </c>
      <c r="M15" s="937">
        <f t="shared" si="7"/>
        <v>162363352</v>
      </c>
      <c r="N15" s="937">
        <f t="shared" si="7"/>
        <v>-20665627</v>
      </c>
      <c r="O15" s="937">
        <f t="shared" si="7"/>
        <v>-28275182</v>
      </c>
      <c r="P15" s="937">
        <f t="shared" si="7"/>
        <v>-8082874</v>
      </c>
      <c r="Q15" s="937">
        <f t="shared" si="7"/>
        <v>-19769631</v>
      </c>
      <c r="R15" s="939">
        <f>100000000-Y15</f>
        <v>99999999.71413538</v>
      </c>
      <c r="S15" s="936">
        <v>14676869</v>
      </c>
      <c r="T15" s="936">
        <f>14676869+7959779</f>
        <v>22636648</v>
      </c>
      <c r="U15" s="936">
        <f>18438787+1560452+666388</f>
        <v>20665627</v>
      </c>
      <c r="V15" s="936">
        <f>18438787+1560452+666388+7609555</f>
        <v>28275182</v>
      </c>
      <c r="W15" s="937">
        <f>'4.sz.m.ÖNK kiadás'!W40</f>
        <v>8082874</v>
      </c>
      <c r="X15" s="937">
        <v>19769631</v>
      </c>
      <c r="Y15" s="673">
        <f>W15/V15</f>
        <v>0.28586461441698235</v>
      </c>
      <c r="Z15" s="275"/>
    </row>
    <row r="16" spans="1:25" ht="21.75" customHeight="1">
      <c r="A16" s="935"/>
      <c r="B16" s="60"/>
      <c r="C16" s="60" t="s">
        <v>273</v>
      </c>
      <c r="D16" s="943" t="s">
        <v>278</v>
      </c>
      <c r="E16" s="936"/>
      <c r="F16" s="936"/>
      <c r="G16" s="936"/>
      <c r="H16" s="936"/>
      <c r="I16" s="937"/>
      <c r="J16" s="937"/>
      <c r="K16" s="938"/>
      <c r="L16" s="937">
        <v>0</v>
      </c>
      <c r="M16" s="937">
        <v>0</v>
      </c>
      <c r="N16" s="937">
        <v>0</v>
      </c>
      <c r="O16" s="937">
        <v>0</v>
      </c>
      <c r="P16" s="937">
        <v>0</v>
      </c>
      <c r="Q16" s="937">
        <v>0</v>
      </c>
      <c r="R16" s="939">
        <v>2</v>
      </c>
      <c r="S16" s="936">
        <v>0</v>
      </c>
      <c r="T16" s="936">
        <v>0</v>
      </c>
      <c r="U16" s="936">
        <v>0</v>
      </c>
      <c r="V16" s="936">
        <v>0</v>
      </c>
      <c r="W16" s="937">
        <v>0</v>
      </c>
      <c r="X16" s="937"/>
      <c r="Y16" s="673"/>
    </row>
    <row r="17" spans="1:25" ht="21.75" customHeight="1">
      <c r="A17" s="935"/>
      <c r="B17" s="60" t="s">
        <v>109</v>
      </c>
      <c r="C17" s="1271" t="s">
        <v>279</v>
      </c>
      <c r="D17" s="1271"/>
      <c r="E17" s="936">
        <v>14150000</v>
      </c>
      <c r="F17" s="936">
        <v>468365</v>
      </c>
      <c r="G17" s="936"/>
      <c r="H17" s="936"/>
      <c r="I17" s="937"/>
      <c r="J17" s="937"/>
      <c r="K17" s="938"/>
      <c r="L17" s="878">
        <f>E17</f>
        <v>14150000</v>
      </c>
      <c r="M17" s="878">
        <f>F17</f>
        <v>468365</v>
      </c>
      <c r="N17" s="878">
        <f>G17</f>
        <v>0</v>
      </c>
      <c r="O17" s="937">
        <f>H17-V17</f>
        <v>0</v>
      </c>
      <c r="P17" s="937">
        <f>I17-W17</f>
        <v>0</v>
      </c>
      <c r="Q17" s="878">
        <f>J17</f>
        <v>0</v>
      </c>
      <c r="R17" s="899">
        <f>K17</f>
        <v>0</v>
      </c>
      <c r="S17" s="936">
        <v>0</v>
      </c>
      <c r="T17" s="936">
        <v>0</v>
      </c>
      <c r="U17" s="936">
        <v>0</v>
      </c>
      <c r="V17" s="936">
        <v>0</v>
      </c>
      <c r="W17" s="937">
        <v>0</v>
      </c>
      <c r="X17" s="937"/>
      <c r="Y17" s="673"/>
    </row>
    <row r="18" spans="1:25" ht="21.75" customHeight="1">
      <c r="A18" s="935"/>
      <c r="B18" s="60" t="s">
        <v>47</v>
      </c>
      <c r="C18" s="1272" t="s">
        <v>280</v>
      </c>
      <c r="D18" s="1272"/>
      <c r="E18" s="940">
        <f>SUM(E19:E20)</f>
        <v>0</v>
      </c>
      <c r="F18" s="940">
        <f>SUM(F19:F20)</f>
        <v>0</v>
      </c>
      <c r="G18" s="940">
        <f>SUM(G19:G20)</f>
        <v>0</v>
      </c>
      <c r="H18" s="940">
        <f>SUM(H19:H20)</f>
        <v>0</v>
      </c>
      <c r="I18" s="941">
        <f>SUM(I19:I20)</f>
        <v>0</v>
      </c>
      <c r="J18" s="941">
        <v>0</v>
      </c>
      <c r="K18" s="673" t="e">
        <f>J18/I18</f>
        <v>#DIV/0!</v>
      </c>
      <c r="L18" s="941">
        <v>0</v>
      </c>
      <c r="M18" s="941">
        <v>0</v>
      </c>
      <c r="N18" s="941">
        <v>0</v>
      </c>
      <c r="O18" s="941">
        <f>SUM(O19:O20)</f>
        <v>0</v>
      </c>
      <c r="P18" s="941">
        <f>SUM(P19:P20)</f>
        <v>0</v>
      </c>
      <c r="Q18" s="941">
        <v>0</v>
      </c>
      <c r="R18" s="942">
        <f>SUM(R19:R20)</f>
        <v>2</v>
      </c>
      <c r="S18" s="940">
        <v>0</v>
      </c>
      <c r="T18" s="940">
        <v>0</v>
      </c>
      <c r="U18" s="940">
        <v>0</v>
      </c>
      <c r="V18" s="940">
        <v>0</v>
      </c>
      <c r="W18" s="941">
        <v>0</v>
      </c>
      <c r="X18" s="941"/>
      <c r="Y18" s="673"/>
    </row>
    <row r="19" spans="1:25" ht="21.75" customHeight="1">
      <c r="A19" s="935"/>
      <c r="B19" s="60"/>
      <c r="C19" s="60" t="s">
        <v>281</v>
      </c>
      <c r="D19" s="943" t="s">
        <v>283</v>
      </c>
      <c r="E19" s="936">
        <v>0</v>
      </c>
      <c r="F19" s="936">
        <v>0</v>
      </c>
      <c r="G19" s="936">
        <v>0</v>
      </c>
      <c r="H19" s="936">
        <v>0</v>
      </c>
      <c r="I19" s="937">
        <v>0</v>
      </c>
      <c r="J19" s="937">
        <v>0</v>
      </c>
      <c r="K19" s="938"/>
      <c r="L19" s="937">
        <v>0</v>
      </c>
      <c r="M19" s="937">
        <v>0</v>
      </c>
      <c r="N19" s="937">
        <v>0</v>
      </c>
      <c r="O19" s="937">
        <v>0</v>
      </c>
      <c r="P19" s="937">
        <v>0</v>
      </c>
      <c r="Q19" s="937">
        <v>0</v>
      </c>
      <c r="R19" s="939">
        <v>2</v>
      </c>
      <c r="S19" s="936">
        <v>0</v>
      </c>
      <c r="T19" s="936">
        <v>0</v>
      </c>
      <c r="U19" s="936">
        <v>0</v>
      </c>
      <c r="V19" s="936">
        <v>0</v>
      </c>
      <c r="W19" s="937">
        <v>0</v>
      </c>
      <c r="X19" s="937"/>
      <c r="Y19" s="673"/>
    </row>
    <row r="20" spans="1:25" ht="21.75" customHeight="1" hidden="1">
      <c r="A20" s="935"/>
      <c r="B20" s="60"/>
      <c r="C20" s="60" t="s">
        <v>282</v>
      </c>
      <c r="D20" s="943" t="s">
        <v>256</v>
      </c>
      <c r="E20" s="936"/>
      <c r="F20" s="936"/>
      <c r="G20" s="936"/>
      <c r="H20" s="936"/>
      <c r="I20" s="937"/>
      <c r="J20" s="937"/>
      <c r="K20" s="938"/>
      <c r="L20" s="878">
        <f aca="true" t="shared" si="8" ref="L20:N21">E20</f>
        <v>0</v>
      </c>
      <c r="M20" s="878">
        <f t="shared" si="8"/>
        <v>0</v>
      </c>
      <c r="N20" s="878">
        <f t="shared" si="8"/>
        <v>0</v>
      </c>
      <c r="O20" s="937"/>
      <c r="P20" s="937"/>
      <c r="Q20" s="878">
        <f>J20</f>
        <v>0</v>
      </c>
      <c r="R20" s="899">
        <f>K20</f>
        <v>0</v>
      </c>
      <c r="S20" s="936">
        <v>0</v>
      </c>
      <c r="T20" s="936">
        <v>0</v>
      </c>
      <c r="U20" s="936">
        <v>0</v>
      </c>
      <c r="V20" s="936">
        <v>0</v>
      </c>
      <c r="W20" s="937">
        <v>0</v>
      </c>
      <c r="X20" s="937"/>
      <c r="Y20" s="673"/>
    </row>
    <row r="21" spans="1:25" ht="21.75" customHeight="1" thickBot="1">
      <c r="A21" s="944"/>
      <c r="B21" s="544" t="s">
        <v>48</v>
      </c>
      <c r="C21" s="1274" t="s">
        <v>284</v>
      </c>
      <c r="D21" s="1274"/>
      <c r="E21" s="945">
        <v>1410000</v>
      </c>
      <c r="F21" s="945">
        <v>1410000</v>
      </c>
      <c r="G21" s="945"/>
      <c r="H21" s="945"/>
      <c r="I21" s="946"/>
      <c r="J21" s="946"/>
      <c r="K21" s="947"/>
      <c r="L21" s="878">
        <f t="shared" si="8"/>
        <v>1410000</v>
      </c>
      <c r="M21" s="878">
        <f t="shared" si="8"/>
        <v>1410000</v>
      </c>
      <c r="N21" s="878">
        <f t="shared" si="8"/>
        <v>0</v>
      </c>
      <c r="O21" s="937">
        <f>H21-V21</f>
        <v>0</v>
      </c>
      <c r="P21" s="937">
        <f>I21-W21</f>
        <v>0</v>
      </c>
      <c r="Q21" s="878">
        <f>J21</f>
        <v>0</v>
      </c>
      <c r="R21" s="899">
        <f>K21</f>
        <v>0</v>
      </c>
      <c r="S21" s="945">
        <v>0</v>
      </c>
      <c r="T21" s="945">
        <v>0</v>
      </c>
      <c r="U21" s="945">
        <v>0</v>
      </c>
      <c r="V21" s="945">
        <v>0</v>
      </c>
      <c r="W21" s="946">
        <v>0</v>
      </c>
      <c r="X21" s="946"/>
      <c r="Y21" s="674"/>
    </row>
    <row r="22" spans="1:26" ht="21.75" customHeight="1" thickBot="1">
      <c r="A22" s="67" t="s">
        <v>285</v>
      </c>
      <c r="B22" s="1197" t="s">
        <v>286</v>
      </c>
      <c r="C22" s="1197"/>
      <c r="D22" s="1197"/>
      <c r="E22" s="925">
        <f aca="true" t="shared" si="9" ref="E22:J22">E23+E24+E25+E29+E30+E31+E32</f>
        <v>39796998</v>
      </c>
      <c r="F22" s="925">
        <f>F23+F24+F25+F29+F30+F31+F32</f>
        <v>28161255</v>
      </c>
      <c r="G22" s="925">
        <f>G23+G24+G25+G29+G30+G31+G32</f>
        <v>0</v>
      </c>
      <c r="H22" s="925">
        <f>H23+H24+H25+H29+H30+H31+H32</f>
        <v>0</v>
      </c>
      <c r="I22" s="926">
        <f t="shared" si="9"/>
        <v>0</v>
      </c>
      <c r="J22" s="926">
        <f t="shared" si="9"/>
        <v>0</v>
      </c>
      <c r="K22" s="929" t="e">
        <f>J22/I22</f>
        <v>#DIV/0!</v>
      </c>
      <c r="L22" s="926">
        <f aca="true" t="shared" si="10" ref="L22:R22">L23+L24+L25+L29+L30+L31+L32</f>
        <v>39606498</v>
      </c>
      <c r="M22" s="926">
        <f>M23+M24+M25+M29+M30+M31+M32</f>
        <v>27970755</v>
      </c>
      <c r="N22" s="926">
        <f>N23+N24+N25+N29+N30+N31+N32</f>
        <v>0</v>
      </c>
      <c r="O22" s="926">
        <f t="shared" si="10"/>
        <v>-406576</v>
      </c>
      <c r="P22" s="926">
        <f t="shared" si="10"/>
        <v>0</v>
      </c>
      <c r="Q22" s="926">
        <f t="shared" si="10"/>
        <v>-381000</v>
      </c>
      <c r="R22" s="927">
        <f t="shared" si="10"/>
        <v>4</v>
      </c>
      <c r="S22" s="925">
        <f>SUM(S23:S32)</f>
        <v>190500</v>
      </c>
      <c r="T22" s="925">
        <f>SUM(T23:T32)</f>
        <v>190500</v>
      </c>
      <c r="U22" s="925">
        <f>SUM(U23:U32)</f>
        <v>0</v>
      </c>
      <c r="V22" s="925">
        <f>SUM(V23:V32)</f>
        <v>406576</v>
      </c>
      <c r="W22" s="926">
        <f>SUM(W23:W32)</f>
        <v>0</v>
      </c>
      <c r="X22" s="926">
        <f>X23+X24+X25+X29+X30+X31+X32</f>
        <v>381000</v>
      </c>
      <c r="Y22" s="929">
        <f>W22/V22</f>
        <v>0</v>
      </c>
      <c r="Z22" s="275"/>
    </row>
    <row r="23" spans="1:25" ht="21.75" customHeight="1">
      <c r="A23" s="948"/>
      <c r="B23" s="66" t="s">
        <v>37</v>
      </c>
      <c r="C23" s="1211" t="s">
        <v>287</v>
      </c>
      <c r="D23" s="1211"/>
      <c r="E23" s="949">
        <v>11131866</v>
      </c>
      <c r="F23" s="949">
        <v>11131866</v>
      </c>
      <c r="G23" s="949"/>
      <c r="H23" s="949"/>
      <c r="I23" s="950"/>
      <c r="J23" s="950"/>
      <c r="K23" s="938"/>
      <c r="L23" s="878">
        <f aca="true" t="shared" si="11" ref="L23:Q23">E23-S23</f>
        <v>10941366</v>
      </c>
      <c r="M23" s="878">
        <f t="shared" si="11"/>
        <v>10941366</v>
      </c>
      <c r="N23" s="878">
        <f t="shared" si="11"/>
        <v>0</v>
      </c>
      <c r="O23" s="937">
        <f>H23-V23</f>
        <v>-245263</v>
      </c>
      <c r="P23" s="937">
        <f t="shared" si="11"/>
        <v>0</v>
      </c>
      <c r="Q23" s="878">
        <f t="shared" si="11"/>
        <v>-300000</v>
      </c>
      <c r="R23" s="899">
        <f>K23</f>
        <v>0</v>
      </c>
      <c r="S23" s="949">
        <v>190500</v>
      </c>
      <c r="T23" s="949">
        <v>190500</v>
      </c>
      <c r="U23" s="949">
        <v>0</v>
      </c>
      <c r="V23" s="949">
        <v>245263</v>
      </c>
      <c r="W23" s="950">
        <v>0</v>
      </c>
      <c r="X23" s="950">
        <v>300000</v>
      </c>
      <c r="Y23" s="675"/>
    </row>
    <row r="24" spans="1:25" ht="21.75" customHeight="1">
      <c r="A24" s="935"/>
      <c r="B24" s="60" t="s">
        <v>38</v>
      </c>
      <c r="C24" s="1203" t="s">
        <v>319</v>
      </c>
      <c r="D24" s="1203"/>
      <c r="E24" s="879">
        <v>3983000</v>
      </c>
      <c r="F24" s="879">
        <v>3983000</v>
      </c>
      <c r="G24" s="879"/>
      <c r="H24" s="879"/>
      <c r="I24" s="880"/>
      <c r="J24" s="880"/>
      <c r="K24" s="938"/>
      <c r="L24" s="878">
        <f>E24</f>
        <v>3983000</v>
      </c>
      <c r="M24" s="878">
        <f>F24</f>
        <v>3983000</v>
      </c>
      <c r="N24" s="878">
        <f>G24</f>
        <v>0</v>
      </c>
      <c r="O24" s="937">
        <f>H24-V24</f>
        <v>-61160</v>
      </c>
      <c r="P24" s="937">
        <f>I24-W24</f>
        <v>0</v>
      </c>
      <c r="Q24" s="878">
        <f>J24</f>
        <v>0</v>
      </c>
      <c r="R24" s="899">
        <f>K24</f>
        <v>0</v>
      </c>
      <c r="S24" s="879">
        <v>0</v>
      </c>
      <c r="T24" s="879">
        <v>0</v>
      </c>
      <c r="U24" s="879">
        <v>0</v>
      </c>
      <c r="V24" s="879">
        <v>61160</v>
      </c>
      <c r="W24" s="880">
        <v>0</v>
      </c>
      <c r="X24" s="880"/>
      <c r="Y24" s="660"/>
    </row>
    <row r="25" spans="1:25" ht="21.75" customHeight="1">
      <c r="A25" s="935"/>
      <c r="B25" s="60" t="s">
        <v>39</v>
      </c>
      <c r="C25" s="1203" t="s">
        <v>289</v>
      </c>
      <c r="D25" s="1203"/>
      <c r="E25" s="320">
        <f aca="true" t="shared" si="12" ref="E25:J25">SUM(E26:E28)</f>
        <v>1325401</v>
      </c>
      <c r="F25" s="320">
        <f>SUM(F26:F28)</f>
        <v>1325401</v>
      </c>
      <c r="G25" s="320">
        <f>SUM(G26:G28)</f>
        <v>0</v>
      </c>
      <c r="H25" s="320">
        <f>SUM(H26:H28)</f>
        <v>0</v>
      </c>
      <c r="I25" s="248">
        <f t="shared" si="12"/>
        <v>0</v>
      </c>
      <c r="J25" s="248">
        <f t="shared" si="12"/>
        <v>0</v>
      </c>
      <c r="K25" s="673" t="e">
        <f>J25/I25</f>
        <v>#DIV/0!</v>
      </c>
      <c r="L25" s="248">
        <f aca="true" t="shared" si="13" ref="L25:R25">SUM(L26:L28)</f>
        <v>1325401</v>
      </c>
      <c r="M25" s="248">
        <f>SUM(M26:M28)</f>
        <v>1325401</v>
      </c>
      <c r="N25" s="248">
        <f>SUM(N26:N28)</f>
        <v>0</v>
      </c>
      <c r="O25" s="248">
        <f t="shared" si="13"/>
        <v>0</v>
      </c>
      <c r="P25" s="248">
        <f t="shared" si="13"/>
        <v>0</v>
      </c>
      <c r="Q25" s="248">
        <f t="shared" si="13"/>
        <v>0</v>
      </c>
      <c r="R25" s="900">
        <f t="shared" si="13"/>
        <v>2</v>
      </c>
      <c r="S25" s="320">
        <v>0</v>
      </c>
      <c r="T25" s="320">
        <v>0</v>
      </c>
      <c r="U25" s="320">
        <v>0</v>
      </c>
      <c r="V25" s="320">
        <v>0</v>
      </c>
      <c r="W25" s="248">
        <v>0</v>
      </c>
      <c r="X25" s="248"/>
      <c r="Y25" s="660" t="e">
        <f>W25/V25</f>
        <v>#DIV/0!</v>
      </c>
    </row>
    <row r="26" spans="1:25" ht="21.75" customHeight="1">
      <c r="A26" s="935"/>
      <c r="B26" s="60"/>
      <c r="C26" s="60" t="s">
        <v>93</v>
      </c>
      <c r="D26" s="281" t="s">
        <v>290</v>
      </c>
      <c r="E26" s="879">
        <f>1325401-495753</f>
        <v>829648</v>
      </c>
      <c r="F26" s="879">
        <f>1325401-495753</f>
        <v>829648</v>
      </c>
      <c r="G26" s="879"/>
      <c r="H26" s="879"/>
      <c r="I26" s="880"/>
      <c r="J26" s="880"/>
      <c r="K26" s="938"/>
      <c r="L26" s="878">
        <f aca="true" t="shared" si="14" ref="L26:N28">E26</f>
        <v>829648</v>
      </c>
      <c r="M26" s="878">
        <f t="shared" si="14"/>
        <v>829648</v>
      </c>
      <c r="N26" s="878">
        <f t="shared" si="14"/>
        <v>0</v>
      </c>
      <c r="O26" s="937">
        <f>H26-V26</f>
        <v>0</v>
      </c>
      <c r="P26" s="937">
        <f>I26-W26</f>
        <v>0</v>
      </c>
      <c r="Q26" s="878">
        <f>J26</f>
        <v>0</v>
      </c>
      <c r="R26" s="899">
        <f aca="true" t="shared" si="15" ref="Q26:R28">K26</f>
        <v>0</v>
      </c>
      <c r="S26" s="879">
        <v>0</v>
      </c>
      <c r="T26" s="879">
        <v>0</v>
      </c>
      <c r="U26" s="879">
        <v>0</v>
      </c>
      <c r="V26" s="879">
        <v>0</v>
      </c>
      <c r="W26" s="880">
        <v>0</v>
      </c>
      <c r="X26" s="880"/>
      <c r="Y26" s="660" t="e">
        <f>W26/V26</f>
        <v>#DIV/0!</v>
      </c>
    </row>
    <row r="27" spans="1:25" ht="41.25" customHeight="1">
      <c r="A27" s="935"/>
      <c r="B27" s="60"/>
      <c r="C27" s="60" t="s">
        <v>94</v>
      </c>
      <c r="D27" s="281" t="s">
        <v>291</v>
      </c>
      <c r="E27" s="879">
        <v>495753</v>
      </c>
      <c r="F27" s="879">
        <v>495753</v>
      </c>
      <c r="G27" s="879"/>
      <c r="H27" s="879"/>
      <c r="I27" s="880"/>
      <c r="J27" s="880"/>
      <c r="K27" s="938"/>
      <c r="L27" s="878">
        <f t="shared" si="14"/>
        <v>495753</v>
      </c>
      <c r="M27" s="878">
        <f t="shared" si="14"/>
        <v>495753</v>
      </c>
      <c r="N27" s="878">
        <f t="shared" si="14"/>
        <v>0</v>
      </c>
      <c r="O27" s="937">
        <f>H27-V27</f>
        <v>0</v>
      </c>
      <c r="P27" s="937">
        <f>I27-W27</f>
        <v>0</v>
      </c>
      <c r="Q27" s="878">
        <f t="shared" si="15"/>
        <v>0</v>
      </c>
      <c r="R27" s="899">
        <f t="shared" si="15"/>
        <v>0</v>
      </c>
      <c r="S27" s="879">
        <v>0</v>
      </c>
      <c r="T27" s="879">
        <v>0</v>
      </c>
      <c r="U27" s="879">
        <v>0</v>
      </c>
      <c r="V27" s="879">
        <v>0</v>
      </c>
      <c r="W27" s="880">
        <v>0</v>
      </c>
      <c r="X27" s="880"/>
      <c r="Y27" s="660"/>
    </row>
    <row r="28" spans="1:25" ht="21.75" customHeight="1">
      <c r="A28" s="935"/>
      <c r="B28" s="60"/>
      <c r="C28" s="60" t="s">
        <v>95</v>
      </c>
      <c r="D28" s="281" t="s">
        <v>462</v>
      </c>
      <c r="E28" s="879"/>
      <c r="F28" s="879"/>
      <c r="G28" s="879"/>
      <c r="H28" s="879"/>
      <c r="I28" s="880"/>
      <c r="J28" s="880"/>
      <c r="K28" s="881"/>
      <c r="L28" s="878">
        <f t="shared" si="14"/>
        <v>0</v>
      </c>
      <c r="M28" s="878">
        <f t="shared" si="14"/>
        <v>0</v>
      </c>
      <c r="N28" s="878">
        <f t="shared" si="14"/>
        <v>0</v>
      </c>
      <c r="O28" s="880"/>
      <c r="P28" s="937">
        <f>I28-W28</f>
        <v>0</v>
      </c>
      <c r="Q28" s="878">
        <f t="shared" si="15"/>
        <v>0</v>
      </c>
      <c r="R28" s="901">
        <v>2</v>
      </c>
      <c r="S28" s="879">
        <v>0</v>
      </c>
      <c r="T28" s="879">
        <v>0</v>
      </c>
      <c r="U28" s="879">
        <v>0</v>
      </c>
      <c r="V28" s="879">
        <v>0</v>
      </c>
      <c r="W28" s="880">
        <v>0</v>
      </c>
      <c r="X28" s="880"/>
      <c r="Y28" s="660"/>
    </row>
    <row r="29" spans="1:25" ht="21.75" customHeight="1">
      <c r="A29" s="935"/>
      <c r="B29" s="60" t="s">
        <v>257</v>
      </c>
      <c r="C29" s="1203" t="s">
        <v>292</v>
      </c>
      <c r="D29" s="1203"/>
      <c r="E29" s="879">
        <v>1115910</v>
      </c>
      <c r="F29" s="879">
        <v>1115910</v>
      </c>
      <c r="G29" s="879"/>
      <c r="H29" s="879"/>
      <c r="I29" s="880"/>
      <c r="J29" s="880"/>
      <c r="K29" s="938"/>
      <c r="L29" s="878">
        <f aca="true" t="shared" si="16" ref="L29:O30">E29-S29</f>
        <v>1115910</v>
      </c>
      <c r="M29" s="878">
        <f t="shared" si="16"/>
        <v>1115910</v>
      </c>
      <c r="N29" s="878">
        <f t="shared" si="16"/>
        <v>0</v>
      </c>
      <c r="O29" s="937">
        <f t="shared" si="16"/>
        <v>-82733</v>
      </c>
      <c r="P29" s="937">
        <f>I29-W29</f>
        <v>0</v>
      </c>
      <c r="Q29" s="878">
        <f>J29-X29</f>
        <v>-81000</v>
      </c>
      <c r="R29" s="899">
        <f>K29</f>
        <v>0</v>
      </c>
      <c r="S29" s="879">
        <v>0</v>
      </c>
      <c r="T29" s="879">
        <v>0</v>
      </c>
      <c r="U29" s="879">
        <v>0</v>
      </c>
      <c r="V29" s="879">
        <v>82733</v>
      </c>
      <c r="W29" s="880">
        <v>0</v>
      </c>
      <c r="X29" s="880">
        <v>81000</v>
      </c>
      <c r="Y29" s="660"/>
    </row>
    <row r="30" spans="1:25" ht="21.75" customHeight="1">
      <c r="A30" s="951"/>
      <c r="B30" s="69" t="s">
        <v>293</v>
      </c>
      <c r="C30" s="1203" t="s">
        <v>491</v>
      </c>
      <c r="D30" s="1203"/>
      <c r="E30" s="879"/>
      <c r="F30" s="879">
        <v>229308</v>
      </c>
      <c r="G30" s="879"/>
      <c r="H30" s="879"/>
      <c r="I30" s="880"/>
      <c r="J30" s="880"/>
      <c r="K30" s="881"/>
      <c r="L30" s="878">
        <f t="shared" si="16"/>
        <v>0</v>
      </c>
      <c r="M30" s="878">
        <f t="shared" si="16"/>
        <v>229308</v>
      </c>
      <c r="N30" s="878">
        <f t="shared" si="16"/>
        <v>0</v>
      </c>
      <c r="O30" s="937">
        <f t="shared" si="16"/>
        <v>0</v>
      </c>
      <c r="P30" s="937">
        <f>I30-W30</f>
        <v>0</v>
      </c>
      <c r="Q30" s="878">
        <f>J30-X30</f>
        <v>0</v>
      </c>
      <c r="R30" s="901">
        <v>2</v>
      </c>
      <c r="S30" s="879">
        <v>0</v>
      </c>
      <c r="T30" s="879">
        <v>0</v>
      </c>
      <c r="U30" s="879">
        <v>0</v>
      </c>
      <c r="V30" s="879">
        <v>0</v>
      </c>
      <c r="W30" s="880">
        <v>0</v>
      </c>
      <c r="X30" s="880"/>
      <c r="Y30" s="660"/>
    </row>
    <row r="31" spans="1:25" ht="21.75" customHeight="1">
      <c r="A31" s="951"/>
      <c r="B31" s="69" t="s">
        <v>295</v>
      </c>
      <c r="C31" s="1203" t="s">
        <v>296</v>
      </c>
      <c r="D31" s="1203"/>
      <c r="E31" s="879">
        <v>100000</v>
      </c>
      <c r="F31" s="879">
        <v>100000</v>
      </c>
      <c r="G31" s="879"/>
      <c r="H31" s="879"/>
      <c r="I31" s="880"/>
      <c r="J31" s="880"/>
      <c r="K31" s="938"/>
      <c r="L31" s="878">
        <f aca="true" t="shared" si="17" ref="L31:N32">E31</f>
        <v>100000</v>
      </c>
      <c r="M31" s="878">
        <f t="shared" si="17"/>
        <v>100000</v>
      </c>
      <c r="N31" s="878">
        <f t="shared" si="17"/>
        <v>0</v>
      </c>
      <c r="O31" s="937">
        <f>H31-V31</f>
        <v>-17420</v>
      </c>
      <c r="P31" s="937">
        <f>I31-W31</f>
        <v>0</v>
      </c>
      <c r="Q31" s="878">
        <f>J31</f>
        <v>0</v>
      </c>
      <c r="R31" s="899">
        <f>K31</f>
        <v>0</v>
      </c>
      <c r="S31" s="879">
        <v>0</v>
      </c>
      <c r="T31" s="879">
        <v>0</v>
      </c>
      <c r="U31" s="879">
        <v>0</v>
      </c>
      <c r="V31" s="879">
        <v>17420</v>
      </c>
      <c r="W31" s="880">
        <v>0</v>
      </c>
      <c r="X31" s="880"/>
      <c r="Y31" s="660"/>
    </row>
    <row r="32" spans="1:25" ht="21.75" customHeight="1" thickBot="1">
      <c r="A32" s="951"/>
      <c r="B32" s="69" t="s">
        <v>66</v>
      </c>
      <c r="C32" s="1202" t="s">
        <v>67</v>
      </c>
      <c r="D32" s="1202"/>
      <c r="E32" s="879">
        <v>22140821</v>
      </c>
      <c r="F32" s="879">
        <v>10275770</v>
      </c>
      <c r="G32" s="879"/>
      <c r="H32" s="879"/>
      <c r="I32" s="880"/>
      <c r="J32" s="880"/>
      <c r="K32" s="938"/>
      <c r="L32" s="878">
        <f t="shared" si="17"/>
        <v>22140821</v>
      </c>
      <c r="M32" s="878">
        <f t="shared" si="17"/>
        <v>10275770</v>
      </c>
      <c r="N32" s="878">
        <f t="shared" si="17"/>
        <v>0</v>
      </c>
      <c r="O32" s="937">
        <f>H32-V32</f>
        <v>0</v>
      </c>
      <c r="P32" s="937">
        <f>I32-W32</f>
        <v>0</v>
      </c>
      <c r="Q32" s="878">
        <f>J32</f>
        <v>0</v>
      </c>
      <c r="R32" s="899">
        <f>K32</f>
        <v>0</v>
      </c>
      <c r="S32" s="879">
        <v>0</v>
      </c>
      <c r="T32" s="879">
        <v>0</v>
      </c>
      <c r="U32" s="879">
        <v>0</v>
      </c>
      <c r="V32" s="879">
        <v>0</v>
      </c>
      <c r="W32" s="880">
        <v>0</v>
      </c>
      <c r="X32" s="880"/>
      <c r="Y32" s="660"/>
    </row>
    <row r="33" spans="1:25" ht="21.75" customHeight="1" thickBot="1">
      <c r="A33" s="952" t="s">
        <v>9</v>
      </c>
      <c r="B33" s="1197" t="s">
        <v>297</v>
      </c>
      <c r="C33" s="1197"/>
      <c r="D33" s="1197"/>
      <c r="E33" s="312">
        <f aca="true" t="shared" si="18" ref="E33:J33">SUM(E34:E38)</f>
        <v>326093376</v>
      </c>
      <c r="F33" s="312">
        <f>SUM(F34:F38)</f>
        <v>337958427</v>
      </c>
      <c r="G33" s="312">
        <f>SUM(G34:G38)</f>
        <v>0</v>
      </c>
      <c r="H33" s="312">
        <f>SUM(H34:H38)</f>
        <v>0</v>
      </c>
      <c r="I33" s="74">
        <f t="shared" si="18"/>
        <v>0</v>
      </c>
      <c r="J33" s="74">
        <f t="shared" si="18"/>
        <v>0</v>
      </c>
      <c r="K33" s="929" t="e">
        <f>J33/I33</f>
        <v>#DIV/0!</v>
      </c>
      <c r="L33" s="74">
        <f aca="true" t="shared" si="19" ref="L33:S33">SUM(L34:L38)</f>
        <v>321280777</v>
      </c>
      <c r="M33" s="74">
        <f>SUM(M34:M38)</f>
        <v>333145828</v>
      </c>
      <c r="N33" s="74">
        <f>SUM(N34:N38)</f>
        <v>-86459321</v>
      </c>
      <c r="O33" s="74">
        <f t="shared" si="19"/>
        <v>0</v>
      </c>
      <c r="P33" s="74">
        <f t="shared" si="19"/>
        <v>0</v>
      </c>
      <c r="Q33" s="74">
        <f t="shared" si="19"/>
        <v>0</v>
      </c>
      <c r="R33" s="751">
        <f t="shared" si="19"/>
        <v>2</v>
      </c>
      <c r="S33" s="74">
        <f t="shared" si="19"/>
        <v>4812599</v>
      </c>
      <c r="T33" s="74">
        <f>SUM(T34:T38)</f>
        <v>4812599</v>
      </c>
      <c r="U33" s="74">
        <f>SUM(U34:U38)</f>
        <v>86459321</v>
      </c>
      <c r="V33" s="74">
        <f>SUM(V34:V38)</f>
        <v>86566001</v>
      </c>
      <c r="W33" s="74">
        <v>0</v>
      </c>
      <c r="X33" s="74"/>
      <c r="Y33" s="676"/>
    </row>
    <row r="34" spans="1:27" ht="21.75" customHeight="1">
      <c r="A34" s="948"/>
      <c r="B34" s="69" t="s">
        <v>40</v>
      </c>
      <c r="C34" s="1275" t="s">
        <v>298</v>
      </c>
      <c r="D34" s="1275"/>
      <c r="E34" s="884">
        <v>294726379</v>
      </c>
      <c r="F34" s="884">
        <f>91465304+47989850+144380866+19151279+3604131</f>
        <v>306591430</v>
      </c>
      <c r="G34" s="884"/>
      <c r="H34" s="884"/>
      <c r="I34" s="885"/>
      <c r="J34" s="885"/>
      <c r="K34" s="938"/>
      <c r="L34" s="878">
        <f aca="true" t="shared" si="20" ref="L34:N35">E34</f>
        <v>294726379</v>
      </c>
      <c r="M34" s="878">
        <f t="shared" si="20"/>
        <v>306591430</v>
      </c>
      <c r="N34" s="878">
        <f t="shared" si="20"/>
        <v>0</v>
      </c>
      <c r="O34" s="937">
        <f>H34-V34</f>
        <v>0</v>
      </c>
      <c r="P34" s="937">
        <f>I34-W34</f>
        <v>0</v>
      </c>
      <c r="Q34" s="878">
        <f>J34</f>
        <v>0</v>
      </c>
      <c r="R34" s="899">
        <f>K34</f>
        <v>0</v>
      </c>
      <c r="S34" s="884">
        <v>0</v>
      </c>
      <c r="T34" s="884">
        <v>0</v>
      </c>
      <c r="U34" s="884">
        <v>0</v>
      </c>
      <c r="V34" s="884">
        <v>0</v>
      </c>
      <c r="W34" s="885">
        <v>0</v>
      </c>
      <c r="X34" s="885"/>
      <c r="Y34" s="857"/>
      <c r="AA34" s="275"/>
    </row>
    <row r="35" spans="1:25" ht="21.75" customHeight="1">
      <c r="A35" s="935"/>
      <c r="B35" s="69" t="s">
        <v>41</v>
      </c>
      <c r="C35" s="1203" t="s">
        <v>457</v>
      </c>
      <c r="D35" s="1203"/>
      <c r="E35" s="879"/>
      <c r="F35" s="879"/>
      <c r="G35" s="879"/>
      <c r="H35" s="879"/>
      <c r="I35" s="880"/>
      <c r="J35" s="880"/>
      <c r="K35" s="938"/>
      <c r="L35" s="878">
        <f t="shared" si="20"/>
        <v>0</v>
      </c>
      <c r="M35" s="878">
        <f t="shared" si="20"/>
        <v>0</v>
      </c>
      <c r="N35" s="878">
        <f t="shared" si="20"/>
        <v>0</v>
      </c>
      <c r="O35" s="937">
        <f>H35-V35</f>
        <v>0</v>
      </c>
      <c r="P35" s="937">
        <f>I35-W35</f>
        <v>0</v>
      </c>
      <c r="Q35" s="878">
        <f>J35</f>
        <v>0</v>
      </c>
      <c r="R35" s="899">
        <f>K35</f>
        <v>0</v>
      </c>
      <c r="S35" s="879">
        <v>0</v>
      </c>
      <c r="T35" s="879">
        <v>0</v>
      </c>
      <c r="U35" s="879">
        <v>0</v>
      </c>
      <c r="V35" s="879">
        <v>0</v>
      </c>
      <c r="W35" s="880">
        <v>0</v>
      </c>
      <c r="X35" s="880"/>
      <c r="Y35" s="660"/>
    </row>
    <row r="36" spans="1:25" ht="21.75" customHeight="1">
      <c r="A36" s="935"/>
      <c r="B36" s="69" t="s">
        <v>64</v>
      </c>
      <c r="C36" s="1203" t="s">
        <v>547</v>
      </c>
      <c r="D36" s="1203"/>
      <c r="E36" s="879"/>
      <c r="F36" s="879"/>
      <c r="G36" s="879"/>
      <c r="H36" s="879"/>
      <c r="I36" s="880">
        <v>0</v>
      </c>
      <c r="J36" s="880">
        <v>0</v>
      </c>
      <c r="K36" s="938"/>
      <c r="L36" s="880">
        <v>0</v>
      </c>
      <c r="M36" s="880">
        <v>0</v>
      </c>
      <c r="N36" s="878">
        <f>G36</f>
        <v>0</v>
      </c>
      <c r="O36" s="937">
        <f>H36-V36</f>
        <v>0</v>
      </c>
      <c r="P36" s="880">
        <v>0</v>
      </c>
      <c r="Q36" s="880">
        <v>0</v>
      </c>
      <c r="R36" s="901">
        <v>0</v>
      </c>
      <c r="S36" s="879">
        <v>0</v>
      </c>
      <c r="T36" s="879">
        <v>0</v>
      </c>
      <c r="U36" s="879">
        <v>0</v>
      </c>
      <c r="V36" s="879">
        <v>0</v>
      </c>
      <c r="W36" s="880">
        <v>0</v>
      </c>
      <c r="X36" s="880"/>
      <c r="Y36" s="660"/>
    </row>
    <row r="37" spans="1:25" ht="21.75" customHeight="1">
      <c r="A37" s="935"/>
      <c r="B37" s="69" t="s">
        <v>65</v>
      </c>
      <c r="C37" s="1203" t="s">
        <v>338</v>
      </c>
      <c r="D37" s="1203"/>
      <c r="E37" s="879"/>
      <c r="F37" s="879"/>
      <c r="G37" s="879"/>
      <c r="H37" s="879"/>
      <c r="I37" s="880">
        <v>0</v>
      </c>
      <c r="J37" s="880">
        <v>0</v>
      </c>
      <c r="K37" s="881"/>
      <c r="L37" s="880">
        <v>0</v>
      </c>
      <c r="M37" s="880">
        <v>0</v>
      </c>
      <c r="N37" s="880">
        <v>0</v>
      </c>
      <c r="O37" s="880">
        <v>0</v>
      </c>
      <c r="P37" s="880">
        <v>0</v>
      </c>
      <c r="Q37" s="880">
        <v>0</v>
      </c>
      <c r="R37" s="901">
        <v>0</v>
      </c>
      <c r="S37" s="879">
        <v>0</v>
      </c>
      <c r="T37" s="879">
        <v>0</v>
      </c>
      <c r="U37" s="879">
        <v>0</v>
      </c>
      <c r="V37" s="879">
        <v>0</v>
      </c>
      <c r="W37" s="880">
        <v>0</v>
      </c>
      <c r="X37" s="880"/>
      <c r="Y37" s="660"/>
    </row>
    <row r="38" spans="1:25" ht="21.75" customHeight="1">
      <c r="A38" s="935"/>
      <c r="B38" s="69" t="s">
        <v>334</v>
      </c>
      <c r="C38" s="1203" t="s">
        <v>299</v>
      </c>
      <c r="D38" s="1203"/>
      <c r="E38" s="320">
        <f aca="true" t="shared" si="21" ref="E38:J38">SUM(E39:E41)</f>
        <v>31366997</v>
      </c>
      <c r="F38" s="320">
        <f>SUM(F39:F41)</f>
        <v>31366997</v>
      </c>
      <c r="G38" s="320">
        <f>SUM(G39:G41)</f>
        <v>0</v>
      </c>
      <c r="H38" s="320">
        <f>SUM(H39:H41)</f>
        <v>0</v>
      </c>
      <c r="I38" s="248">
        <f t="shared" si="21"/>
        <v>0</v>
      </c>
      <c r="J38" s="248">
        <f t="shared" si="21"/>
        <v>0</v>
      </c>
      <c r="K38" s="673" t="e">
        <f>J38/I38</f>
        <v>#DIV/0!</v>
      </c>
      <c r="L38" s="248">
        <f aca="true" t="shared" si="22" ref="L38:U38">SUM(L39:L41)</f>
        <v>26554398</v>
      </c>
      <c r="M38" s="248">
        <f>SUM(M39:M41)</f>
        <v>26554398</v>
      </c>
      <c r="N38" s="248">
        <f t="shared" si="22"/>
        <v>-86459321</v>
      </c>
      <c r="O38" s="248">
        <f t="shared" si="22"/>
        <v>0</v>
      </c>
      <c r="P38" s="248">
        <f t="shared" si="22"/>
        <v>0</v>
      </c>
      <c r="Q38" s="248">
        <f t="shared" si="22"/>
        <v>0</v>
      </c>
      <c r="R38" s="900">
        <f t="shared" si="22"/>
        <v>2</v>
      </c>
      <c r="S38" s="248">
        <f t="shared" si="22"/>
        <v>4812599</v>
      </c>
      <c r="T38" s="248">
        <f>SUM(T39:T41)</f>
        <v>4812599</v>
      </c>
      <c r="U38" s="248">
        <f t="shared" si="22"/>
        <v>86459321</v>
      </c>
      <c r="V38" s="248">
        <f>SUM(V39:V41)</f>
        <v>86566001</v>
      </c>
      <c r="W38" s="248">
        <v>0</v>
      </c>
      <c r="X38" s="248"/>
      <c r="Y38" s="660"/>
    </row>
    <row r="39" spans="1:25" ht="21.75" customHeight="1">
      <c r="A39" s="935"/>
      <c r="B39" s="69"/>
      <c r="C39" s="66" t="s">
        <v>335</v>
      </c>
      <c r="D39" s="545" t="s">
        <v>31</v>
      </c>
      <c r="E39" s="879">
        <v>12222000</v>
      </c>
      <c r="F39" s="879">
        <v>12222000</v>
      </c>
      <c r="G39" s="879"/>
      <c r="H39" s="879"/>
      <c r="I39" s="880"/>
      <c r="J39" s="880"/>
      <c r="K39" s="938"/>
      <c r="L39" s="878">
        <f>E39</f>
        <v>12222000</v>
      </c>
      <c r="M39" s="878">
        <f>F39</f>
        <v>12222000</v>
      </c>
      <c r="N39" s="878">
        <f>G39</f>
        <v>0</v>
      </c>
      <c r="O39" s="937">
        <f>H39-V39</f>
        <v>0</v>
      </c>
      <c r="P39" s="937">
        <f>I39-W39</f>
        <v>0</v>
      </c>
      <c r="Q39" s="878">
        <f>J39</f>
        <v>0</v>
      </c>
      <c r="R39" s="899">
        <f>K39</f>
        <v>0</v>
      </c>
      <c r="S39" s="879">
        <v>0</v>
      </c>
      <c r="T39" s="879">
        <v>0</v>
      </c>
      <c r="U39" s="879">
        <v>0</v>
      </c>
      <c r="V39" s="879">
        <v>0</v>
      </c>
      <c r="W39" s="880">
        <v>0</v>
      </c>
      <c r="X39" s="880"/>
      <c r="Y39" s="660"/>
    </row>
    <row r="40" spans="1:28" ht="21.75" customHeight="1">
      <c r="A40" s="935"/>
      <c r="B40" s="69"/>
      <c r="C40" s="60" t="s">
        <v>336</v>
      </c>
      <c r="D40" s="281" t="s">
        <v>30</v>
      </c>
      <c r="E40" s="879">
        <v>11010599</v>
      </c>
      <c r="F40" s="879">
        <v>11010599</v>
      </c>
      <c r="G40" s="879"/>
      <c r="H40" s="879"/>
      <c r="I40" s="880"/>
      <c r="J40" s="880"/>
      <c r="K40" s="881"/>
      <c r="L40" s="878">
        <f>E40-S40</f>
        <v>6198000</v>
      </c>
      <c r="M40" s="878">
        <f>F40-T40</f>
        <v>6198000</v>
      </c>
      <c r="N40" s="878">
        <f>G40-U40</f>
        <v>-86459321</v>
      </c>
      <c r="O40" s="880"/>
      <c r="P40" s="937">
        <f>I40-W40</f>
        <v>0</v>
      </c>
      <c r="Q40" s="878">
        <f>J40-X40</f>
        <v>0</v>
      </c>
      <c r="R40" s="901">
        <v>2</v>
      </c>
      <c r="S40" s="879">
        <v>4812599</v>
      </c>
      <c r="T40" s="879">
        <v>4812599</v>
      </c>
      <c r="U40" s="879">
        <v>86459321</v>
      </c>
      <c r="V40" s="880">
        <v>86566001</v>
      </c>
      <c r="W40" s="880">
        <v>0</v>
      </c>
      <c r="X40" s="880"/>
      <c r="Y40" s="660"/>
      <c r="AB40" s="880"/>
    </row>
    <row r="41" spans="1:25" ht="21.75" customHeight="1" thickBot="1">
      <c r="A41" s="935"/>
      <c r="B41" s="69"/>
      <c r="C41" s="60" t="s">
        <v>337</v>
      </c>
      <c r="D41" s="281" t="s">
        <v>32</v>
      </c>
      <c r="E41" s="882">
        <v>8134398</v>
      </c>
      <c r="F41" s="882">
        <v>8134398</v>
      </c>
      <c r="G41" s="882"/>
      <c r="H41" s="882"/>
      <c r="I41" s="883"/>
      <c r="J41" s="883"/>
      <c r="K41" s="938"/>
      <c r="L41" s="878">
        <f>E41</f>
        <v>8134398</v>
      </c>
      <c r="M41" s="878">
        <f>F41</f>
        <v>8134398</v>
      </c>
      <c r="N41" s="878">
        <f>G41</f>
        <v>0</v>
      </c>
      <c r="O41" s="937">
        <f>H41-V41</f>
        <v>0</v>
      </c>
      <c r="P41" s="937">
        <f>I41-W41</f>
        <v>0</v>
      </c>
      <c r="Q41" s="878">
        <f>J41</f>
        <v>0</v>
      </c>
      <c r="R41" s="899">
        <f>K41</f>
        <v>0</v>
      </c>
      <c r="S41" s="882">
        <v>0</v>
      </c>
      <c r="T41" s="882">
        <v>0</v>
      </c>
      <c r="U41" s="882">
        <v>0</v>
      </c>
      <c r="V41" s="882">
        <v>0</v>
      </c>
      <c r="W41" s="883">
        <v>0</v>
      </c>
      <c r="X41" s="883"/>
      <c r="Y41" s="661"/>
    </row>
    <row r="42" spans="1:25" ht="21.75" customHeight="1" thickBot="1">
      <c r="A42" s="952" t="s">
        <v>10</v>
      </c>
      <c r="B42" s="1197" t="s">
        <v>300</v>
      </c>
      <c r="C42" s="1197"/>
      <c r="D42" s="1197"/>
      <c r="E42" s="312">
        <f>SUM(E43:E44)</f>
        <v>1074492</v>
      </c>
      <c r="F42" s="312">
        <f>SUM(F43:F44)</f>
        <v>1074492</v>
      </c>
      <c r="G42" s="312">
        <f>SUM(G43:G44)</f>
        <v>0</v>
      </c>
      <c r="H42" s="312">
        <f>SUM(H43:H44)</f>
        <v>0</v>
      </c>
      <c r="I42" s="74">
        <f>SUM(I43:I44)</f>
        <v>164800474</v>
      </c>
      <c r="J42" s="74">
        <f>J43+J44+J48</f>
        <v>0</v>
      </c>
      <c r="K42" s="929">
        <f>J42/I42</f>
        <v>0</v>
      </c>
      <c r="L42" s="74">
        <f>L43+L44+L48</f>
        <v>1074492</v>
      </c>
      <c r="M42" s="74">
        <f>M43+M44+M48</f>
        <v>1074492</v>
      </c>
      <c r="N42" s="74">
        <f>N43+N44+N48</f>
        <v>-8488680</v>
      </c>
      <c r="O42" s="74">
        <f>SUM(O43:O44)</f>
        <v>0</v>
      </c>
      <c r="P42" s="74">
        <f>SUM(P43:P44)</f>
        <v>164800474</v>
      </c>
      <c r="Q42" s="74">
        <f>Q43+Q44+Q48</f>
        <v>0</v>
      </c>
      <c r="R42" s="751">
        <f>R43+R44+R48</f>
        <v>6000002</v>
      </c>
      <c r="S42" s="312">
        <f>SUM(S43:S44)</f>
        <v>0</v>
      </c>
      <c r="T42" s="312">
        <f>SUM(T43:T44)</f>
        <v>0</v>
      </c>
      <c r="U42" s="312">
        <f>SUM(U43:U44)</f>
        <v>8488680</v>
      </c>
      <c r="V42" s="312">
        <f>SUM(V43:V44)</f>
        <v>8382000</v>
      </c>
      <c r="W42" s="74">
        <f>SUM(W43:W44)</f>
        <v>0</v>
      </c>
      <c r="X42" s="74">
        <f>X43+X44+X48</f>
        <v>0</v>
      </c>
      <c r="Y42" s="676"/>
    </row>
    <row r="43" spans="1:25" ht="21.75" customHeight="1">
      <c r="A43" s="948"/>
      <c r="B43" s="953" t="s">
        <v>301</v>
      </c>
      <c r="C43" s="1211" t="s">
        <v>303</v>
      </c>
      <c r="D43" s="1211"/>
      <c r="E43" s="888"/>
      <c r="F43" s="888"/>
      <c r="G43" s="888"/>
      <c r="H43" s="888"/>
      <c r="I43" s="886"/>
      <c r="J43" s="886"/>
      <c r="K43" s="887"/>
      <c r="L43" s="878">
        <f aca="true" t="shared" si="23" ref="L43:Q43">E43-S43</f>
        <v>0</v>
      </c>
      <c r="M43" s="878">
        <f t="shared" si="23"/>
        <v>0</v>
      </c>
      <c r="N43" s="878">
        <f t="shared" si="23"/>
        <v>0</v>
      </c>
      <c r="O43" s="937">
        <f t="shared" si="23"/>
        <v>0</v>
      </c>
      <c r="P43" s="937">
        <f t="shared" si="23"/>
        <v>0</v>
      </c>
      <c r="Q43" s="878">
        <f t="shared" si="23"/>
        <v>0</v>
      </c>
      <c r="R43" s="902">
        <v>2</v>
      </c>
      <c r="S43" s="888">
        <v>0</v>
      </c>
      <c r="T43" s="888">
        <v>0</v>
      </c>
      <c r="U43" s="888">
        <v>0</v>
      </c>
      <c r="V43" s="888">
        <v>0</v>
      </c>
      <c r="W43" s="886">
        <v>0</v>
      </c>
      <c r="X43" s="886"/>
      <c r="Y43" s="680"/>
    </row>
    <row r="44" spans="1:25" ht="21.75" customHeight="1">
      <c r="A44" s="935"/>
      <c r="B44" s="954" t="s">
        <v>302</v>
      </c>
      <c r="C44" s="1203" t="s">
        <v>304</v>
      </c>
      <c r="D44" s="1203"/>
      <c r="E44" s="320">
        <f aca="true" t="shared" si="24" ref="E44:J44">SUM(E45:E47)</f>
        <v>1074492</v>
      </c>
      <c r="F44" s="320">
        <f>SUM(F45:F47)</f>
        <v>1074492</v>
      </c>
      <c r="G44" s="320">
        <f>SUM(G45:G47)</f>
        <v>0</v>
      </c>
      <c r="H44" s="320">
        <f>SUM(H45:H47)</f>
        <v>0</v>
      </c>
      <c r="I44" s="248">
        <f t="shared" si="24"/>
        <v>164800474</v>
      </c>
      <c r="J44" s="248">
        <f t="shared" si="24"/>
        <v>0</v>
      </c>
      <c r="K44" s="673">
        <f>J44/I44</f>
        <v>0</v>
      </c>
      <c r="L44" s="248">
        <f aca="true" t="shared" si="25" ref="L44:Q44">SUM(L45:L47)</f>
        <v>1074492</v>
      </c>
      <c r="M44" s="248">
        <f>SUM(M45:M47)</f>
        <v>1074492</v>
      </c>
      <c r="N44" s="248">
        <f>SUM(N45:N47)</f>
        <v>-8488680</v>
      </c>
      <c r="O44" s="248">
        <f t="shared" si="25"/>
        <v>0</v>
      </c>
      <c r="P44" s="248">
        <f t="shared" si="25"/>
        <v>164800474</v>
      </c>
      <c r="Q44" s="248">
        <f t="shared" si="25"/>
        <v>0</v>
      </c>
      <c r="R44" s="900">
        <f aca="true" t="shared" si="26" ref="R44:X44">SUM(R45:R47)</f>
        <v>6000000</v>
      </c>
      <c r="S44" s="320">
        <f t="shared" si="26"/>
        <v>0</v>
      </c>
      <c r="T44" s="320">
        <f>SUM(T45:T47)</f>
        <v>0</v>
      </c>
      <c r="U44" s="320">
        <f>SUM(U45:U47)</f>
        <v>8488680</v>
      </c>
      <c r="V44" s="320">
        <f>SUM(V45:V47)</f>
        <v>8382000</v>
      </c>
      <c r="W44" s="248">
        <f>SUM(W45:W47)</f>
        <v>0</v>
      </c>
      <c r="X44" s="248">
        <f t="shared" si="26"/>
        <v>0</v>
      </c>
      <c r="Y44" s="660"/>
    </row>
    <row r="45" spans="1:25" ht="21.75" customHeight="1">
      <c r="A45" s="935"/>
      <c r="B45" s="953"/>
      <c r="C45" s="66" t="s">
        <v>305</v>
      </c>
      <c r="D45" s="545" t="s">
        <v>31</v>
      </c>
      <c r="E45" s="879">
        <v>0</v>
      </c>
      <c r="F45" s="879">
        <v>0</v>
      </c>
      <c r="G45" s="879">
        <v>0</v>
      </c>
      <c r="H45" s="879">
        <v>0</v>
      </c>
      <c r="I45" s="880">
        <v>0</v>
      </c>
      <c r="J45" s="880">
        <v>0</v>
      </c>
      <c r="K45" s="881"/>
      <c r="L45" s="880"/>
      <c r="M45" s="880"/>
      <c r="N45" s="880"/>
      <c r="O45" s="880">
        <v>0</v>
      </c>
      <c r="P45" s="880">
        <v>0</v>
      </c>
      <c r="Q45" s="880"/>
      <c r="R45" s="901">
        <v>0</v>
      </c>
      <c r="S45" s="879">
        <v>0</v>
      </c>
      <c r="T45" s="879">
        <v>0</v>
      </c>
      <c r="U45" s="879">
        <v>0</v>
      </c>
      <c r="V45" s="879">
        <v>0</v>
      </c>
      <c r="W45" s="880">
        <v>0</v>
      </c>
      <c r="X45" s="880"/>
      <c r="Y45" s="660"/>
    </row>
    <row r="46" spans="1:25" ht="21.75" customHeight="1">
      <c r="A46" s="935"/>
      <c r="B46" s="954"/>
      <c r="C46" s="60" t="s">
        <v>306</v>
      </c>
      <c r="D46" s="545" t="s">
        <v>30</v>
      </c>
      <c r="E46" s="879">
        <v>1074492</v>
      </c>
      <c r="F46" s="879">
        <v>1074492</v>
      </c>
      <c r="G46" s="879"/>
      <c r="H46" s="879"/>
      <c r="I46" s="880">
        <f>-3844000+168644474</f>
        <v>164800474</v>
      </c>
      <c r="J46" s="880"/>
      <c r="K46" s="938"/>
      <c r="L46" s="878">
        <f>E46-S46</f>
        <v>1074492</v>
      </c>
      <c r="M46" s="878">
        <f>F46-T46</f>
        <v>1074492</v>
      </c>
      <c r="N46" s="878">
        <f>G46-U46</f>
        <v>-8488680</v>
      </c>
      <c r="O46" s="880">
        <v>0</v>
      </c>
      <c r="P46" s="937">
        <f>I46-W46</f>
        <v>164800474</v>
      </c>
      <c r="Q46" s="878">
        <f>J46-X46</f>
        <v>0</v>
      </c>
      <c r="R46" s="901">
        <v>0</v>
      </c>
      <c r="S46" s="879">
        <v>0</v>
      </c>
      <c r="T46" s="879">
        <v>0</v>
      </c>
      <c r="U46" s="879">
        <v>8488680</v>
      </c>
      <c r="V46" s="879">
        <v>8382000</v>
      </c>
      <c r="W46" s="880">
        <v>0</v>
      </c>
      <c r="X46" s="880"/>
      <c r="Y46" s="660"/>
    </row>
    <row r="47" spans="1:25" ht="21.75" customHeight="1">
      <c r="A47" s="951"/>
      <c r="B47" s="953"/>
      <c r="C47" s="66" t="s">
        <v>307</v>
      </c>
      <c r="D47" s="545" t="s">
        <v>308</v>
      </c>
      <c r="E47" s="879"/>
      <c r="F47" s="879"/>
      <c r="G47" s="879"/>
      <c r="H47" s="879"/>
      <c r="I47" s="880"/>
      <c r="J47" s="880"/>
      <c r="K47" s="938"/>
      <c r="L47" s="880"/>
      <c r="M47" s="880"/>
      <c r="N47" s="880"/>
      <c r="O47" s="937">
        <f>H47-V47</f>
        <v>0</v>
      </c>
      <c r="P47" s="937">
        <f>I47-W47</f>
        <v>0</v>
      </c>
      <c r="Q47" s="880"/>
      <c r="R47" s="901">
        <v>6000000</v>
      </c>
      <c r="S47" s="879">
        <v>0</v>
      </c>
      <c r="T47" s="879">
        <v>0</v>
      </c>
      <c r="U47" s="879">
        <v>0</v>
      </c>
      <c r="V47" s="879">
        <v>0</v>
      </c>
      <c r="W47" s="880">
        <v>0</v>
      </c>
      <c r="X47" s="880"/>
      <c r="Y47" s="660"/>
    </row>
    <row r="48" spans="1:25" ht="21.75" customHeight="1" thickBot="1">
      <c r="A48" s="955"/>
      <c r="B48" s="954" t="s">
        <v>331</v>
      </c>
      <c r="C48" s="1203" t="s">
        <v>454</v>
      </c>
      <c r="D48" s="1203"/>
      <c r="E48" s="879">
        <v>0</v>
      </c>
      <c r="F48" s="879">
        <v>0</v>
      </c>
      <c r="G48" s="879">
        <v>0</v>
      </c>
      <c r="H48" s="879">
        <v>0</v>
      </c>
      <c r="I48" s="880">
        <v>0</v>
      </c>
      <c r="J48" s="880"/>
      <c r="K48" s="881"/>
      <c r="L48" s="878"/>
      <c r="M48" s="878"/>
      <c r="N48" s="878"/>
      <c r="O48" s="880">
        <v>0</v>
      </c>
      <c r="P48" s="880">
        <v>0</v>
      </c>
      <c r="Q48" s="878"/>
      <c r="R48" s="899">
        <f>K48-Y48</f>
        <v>0</v>
      </c>
      <c r="S48" s="879">
        <v>0</v>
      </c>
      <c r="T48" s="879">
        <v>0</v>
      </c>
      <c r="U48" s="879">
        <v>0</v>
      </c>
      <c r="V48" s="879">
        <v>0</v>
      </c>
      <c r="W48" s="880">
        <v>0</v>
      </c>
      <c r="X48" s="880">
        <f>J48</f>
        <v>0</v>
      </c>
      <c r="Y48" s="660"/>
    </row>
    <row r="49" spans="1:25" ht="21.75" customHeight="1" hidden="1" thickBot="1">
      <c r="A49" s="955"/>
      <c r="B49" s="953"/>
      <c r="C49" s="1220"/>
      <c r="D49" s="1220"/>
      <c r="E49" s="488"/>
      <c r="F49" s="488"/>
      <c r="G49" s="488"/>
      <c r="H49" s="488"/>
      <c r="I49" s="489"/>
      <c r="J49" s="489"/>
      <c r="K49" s="661" t="e">
        <f>I49/H49</f>
        <v>#DIV/0!</v>
      </c>
      <c r="L49" s="489"/>
      <c r="M49" s="489"/>
      <c r="N49" s="489"/>
      <c r="O49" s="489"/>
      <c r="P49" s="489"/>
      <c r="Q49" s="489"/>
      <c r="R49" s="903"/>
      <c r="S49" s="488"/>
      <c r="T49" s="488"/>
      <c r="U49" s="488"/>
      <c r="V49" s="488"/>
      <c r="W49" s="489"/>
      <c r="X49" s="489"/>
      <c r="Y49" s="661"/>
    </row>
    <row r="50" spans="1:25" ht="21.75" customHeight="1" thickBot="1">
      <c r="A50" s="952" t="s">
        <v>11</v>
      </c>
      <c r="B50" s="1197" t="s">
        <v>71</v>
      </c>
      <c r="C50" s="1197"/>
      <c r="D50" s="1197"/>
      <c r="E50" s="312">
        <f aca="true" t="shared" si="27" ref="E50:J50">E51+E52</f>
        <v>360000</v>
      </c>
      <c r="F50" s="312">
        <f>F51+F52</f>
        <v>360000</v>
      </c>
      <c r="G50" s="312">
        <f>G51+G52</f>
        <v>0</v>
      </c>
      <c r="H50" s="312">
        <f>H51+H52</f>
        <v>0</v>
      </c>
      <c r="I50" s="74">
        <f t="shared" si="27"/>
        <v>460000</v>
      </c>
      <c r="J50" s="74">
        <f t="shared" si="27"/>
        <v>0</v>
      </c>
      <c r="K50" s="929">
        <f>J50/I50</f>
        <v>0</v>
      </c>
      <c r="L50" s="74">
        <f>L51+L52</f>
        <v>360000</v>
      </c>
      <c r="M50" s="74">
        <f>M51+M52</f>
        <v>360000</v>
      </c>
      <c r="N50" s="74">
        <f>N51+N52</f>
        <v>0</v>
      </c>
      <c r="O50" s="74">
        <f>O51+O52</f>
        <v>0</v>
      </c>
      <c r="P50" s="74">
        <f>P51+P52</f>
        <v>460000</v>
      </c>
      <c r="Q50" s="74">
        <f aca="true" t="shared" si="28" ref="Q50:X50">Q51+Q52</f>
        <v>0</v>
      </c>
      <c r="R50" s="751">
        <f t="shared" si="28"/>
        <v>0</v>
      </c>
      <c r="S50" s="312">
        <f t="shared" si="28"/>
        <v>0</v>
      </c>
      <c r="T50" s="312">
        <f>T51+T52</f>
        <v>0</v>
      </c>
      <c r="U50" s="312">
        <f>U51+U52</f>
        <v>0</v>
      </c>
      <c r="V50" s="312">
        <f>V51+V52</f>
        <v>0</v>
      </c>
      <c r="W50" s="74">
        <f>W51+W52</f>
        <v>0</v>
      </c>
      <c r="X50" s="74">
        <f t="shared" si="28"/>
        <v>0</v>
      </c>
      <c r="Y50" s="676"/>
    </row>
    <row r="51" spans="1:25" s="957" customFormat="1" ht="21.75" customHeight="1">
      <c r="A51" s="956"/>
      <c r="B51" s="953" t="s">
        <v>42</v>
      </c>
      <c r="C51" s="1211" t="s">
        <v>320</v>
      </c>
      <c r="D51" s="1211"/>
      <c r="E51" s="888">
        <v>60000</v>
      </c>
      <c r="F51" s="888">
        <v>60000</v>
      </c>
      <c r="G51" s="888"/>
      <c r="H51" s="888"/>
      <c r="I51" s="886">
        <f>60000+200000</f>
        <v>260000</v>
      </c>
      <c r="J51" s="886"/>
      <c r="K51" s="938"/>
      <c r="L51" s="878">
        <f aca="true" t="shared" si="29" ref="L51:N52">E51</f>
        <v>60000</v>
      </c>
      <c r="M51" s="878">
        <f t="shared" si="29"/>
        <v>60000</v>
      </c>
      <c r="N51" s="878">
        <f t="shared" si="29"/>
        <v>0</v>
      </c>
      <c r="O51" s="937">
        <f>H51-V51</f>
        <v>0</v>
      </c>
      <c r="P51" s="937">
        <f>I51-W51</f>
        <v>260000</v>
      </c>
      <c r="Q51" s="878">
        <f>J51</f>
        <v>0</v>
      </c>
      <c r="R51" s="899">
        <f>K51</f>
        <v>0</v>
      </c>
      <c r="S51" s="888">
        <v>0</v>
      </c>
      <c r="T51" s="888">
        <v>0</v>
      </c>
      <c r="U51" s="888">
        <v>0</v>
      </c>
      <c r="V51" s="888">
        <v>0</v>
      </c>
      <c r="W51" s="886">
        <v>0</v>
      </c>
      <c r="X51" s="886"/>
      <c r="Y51" s="680"/>
    </row>
    <row r="52" spans="1:25" s="957" customFormat="1" ht="21.75" customHeight="1" thickBot="1">
      <c r="A52" s="935"/>
      <c r="B52" s="60" t="s">
        <v>43</v>
      </c>
      <c r="C52" s="1203" t="s">
        <v>440</v>
      </c>
      <c r="D52" s="1203"/>
      <c r="E52" s="889">
        <v>300000</v>
      </c>
      <c r="F52" s="889">
        <v>300000</v>
      </c>
      <c r="G52" s="889"/>
      <c r="H52" s="889"/>
      <c r="I52" s="890">
        <v>200000</v>
      </c>
      <c r="J52" s="890"/>
      <c r="K52" s="891"/>
      <c r="L52" s="878">
        <f t="shared" si="29"/>
        <v>300000</v>
      </c>
      <c r="M52" s="878">
        <f t="shared" si="29"/>
        <v>300000</v>
      </c>
      <c r="N52" s="878">
        <f t="shared" si="29"/>
        <v>0</v>
      </c>
      <c r="O52" s="937">
        <f>H52-V52</f>
        <v>0</v>
      </c>
      <c r="P52" s="937">
        <f>I52-W52</f>
        <v>200000</v>
      </c>
      <c r="Q52" s="878">
        <f>J52</f>
        <v>0</v>
      </c>
      <c r="R52" s="899">
        <f>K52</f>
        <v>0</v>
      </c>
      <c r="S52" s="889">
        <v>0</v>
      </c>
      <c r="T52" s="889">
        <v>0</v>
      </c>
      <c r="U52" s="889">
        <v>0</v>
      </c>
      <c r="V52" s="889">
        <v>0</v>
      </c>
      <c r="W52" s="890">
        <v>0</v>
      </c>
      <c r="X52" s="890"/>
      <c r="Y52" s="685"/>
    </row>
    <row r="53" spans="1:25" ht="21.75" customHeight="1" thickBot="1">
      <c r="A53" s="952" t="s">
        <v>12</v>
      </c>
      <c r="B53" s="1197" t="s">
        <v>309</v>
      </c>
      <c r="C53" s="1197"/>
      <c r="D53" s="1197"/>
      <c r="E53" s="307">
        <f aca="true" t="shared" si="30" ref="E53:J53">SUM(E54:E55)</f>
        <v>600000</v>
      </c>
      <c r="F53" s="307">
        <f>SUM(F54:F55)</f>
        <v>600000</v>
      </c>
      <c r="G53" s="307">
        <f>SUM(G54:G55)</f>
        <v>0</v>
      </c>
      <c r="H53" s="307">
        <f>SUM(H54:H55)</f>
        <v>0</v>
      </c>
      <c r="I53" s="249">
        <f t="shared" si="30"/>
        <v>0</v>
      </c>
      <c r="J53" s="249">
        <f t="shared" si="30"/>
        <v>0</v>
      </c>
      <c r="K53" s="929" t="e">
        <f>J53/I53</f>
        <v>#DIV/0!</v>
      </c>
      <c r="L53" s="249">
        <f>SUM(L54:L55)</f>
        <v>600000</v>
      </c>
      <c r="M53" s="249">
        <f>SUM(M54:M55)</f>
        <v>600000</v>
      </c>
      <c r="N53" s="249">
        <f>SUM(N54:N55)</f>
        <v>0</v>
      </c>
      <c r="O53" s="249">
        <f>SUM(O54:O55)</f>
        <v>0</v>
      </c>
      <c r="P53" s="249">
        <f>SUM(P54:P55)</f>
        <v>0</v>
      </c>
      <c r="Q53" s="249">
        <f aca="true" t="shared" si="31" ref="Q53:X53">SUM(Q54:Q55)</f>
        <v>0</v>
      </c>
      <c r="R53" s="747">
        <f t="shared" si="31"/>
        <v>2</v>
      </c>
      <c r="S53" s="307">
        <f t="shared" si="31"/>
        <v>0</v>
      </c>
      <c r="T53" s="307">
        <f>SUM(T54:T55)</f>
        <v>0</v>
      </c>
      <c r="U53" s="307">
        <f>SUM(U54:U55)</f>
        <v>0</v>
      </c>
      <c r="V53" s="307">
        <f>SUM(V54:V55)</f>
        <v>0</v>
      </c>
      <c r="W53" s="249">
        <f>SUM(W54:W55)</f>
        <v>0</v>
      </c>
      <c r="X53" s="249">
        <f t="shared" si="31"/>
        <v>0</v>
      </c>
      <c r="Y53" s="682"/>
    </row>
    <row r="54" spans="1:25" s="928" customFormat="1" ht="21.75" customHeight="1">
      <c r="A54" s="958"/>
      <c r="B54" s="66" t="s">
        <v>44</v>
      </c>
      <c r="C54" s="1211" t="s">
        <v>311</v>
      </c>
      <c r="D54" s="1211"/>
      <c r="E54" s="892">
        <v>600000</v>
      </c>
      <c r="F54" s="892">
        <v>600000</v>
      </c>
      <c r="G54" s="892"/>
      <c r="H54" s="892"/>
      <c r="I54" s="878"/>
      <c r="J54" s="878"/>
      <c r="K54" s="938"/>
      <c r="L54" s="878">
        <f>E54</f>
        <v>600000</v>
      </c>
      <c r="M54" s="878">
        <f>F54</f>
        <v>600000</v>
      </c>
      <c r="N54" s="878">
        <f>G54</f>
        <v>0</v>
      </c>
      <c r="O54" s="937">
        <f>H54-V54</f>
        <v>0</v>
      </c>
      <c r="P54" s="937">
        <f>I54-W54</f>
        <v>0</v>
      </c>
      <c r="Q54" s="878">
        <f>J54</f>
        <v>0</v>
      </c>
      <c r="R54" s="899">
        <f>K54</f>
        <v>0</v>
      </c>
      <c r="S54" s="892">
        <v>0</v>
      </c>
      <c r="T54" s="892">
        <v>0</v>
      </c>
      <c r="U54" s="892">
        <v>0</v>
      </c>
      <c r="V54" s="892">
        <v>0</v>
      </c>
      <c r="W54" s="878">
        <v>0</v>
      </c>
      <c r="X54" s="878"/>
      <c r="Y54" s="688"/>
    </row>
    <row r="55" spans="1:25" ht="21.75" customHeight="1" thickBot="1">
      <c r="A55" s="951"/>
      <c r="B55" s="69" t="s">
        <v>310</v>
      </c>
      <c r="C55" s="1202" t="s">
        <v>312</v>
      </c>
      <c r="D55" s="1202"/>
      <c r="E55" s="893">
        <v>0</v>
      </c>
      <c r="F55" s="893">
        <v>0</v>
      </c>
      <c r="G55" s="893">
        <v>0</v>
      </c>
      <c r="H55" s="893">
        <v>0</v>
      </c>
      <c r="I55" s="894">
        <v>0</v>
      </c>
      <c r="J55" s="894">
        <v>0</v>
      </c>
      <c r="K55" s="895"/>
      <c r="L55" s="894">
        <v>0</v>
      </c>
      <c r="M55" s="894">
        <v>0</v>
      </c>
      <c r="N55" s="894">
        <v>0</v>
      </c>
      <c r="O55" s="894">
        <v>0</v>
      </c>
      <c r="P55" s="894">
        <v>0</v>
      </c>
      <c r="Q55" s="894">
        <v>0</v>
      </c>
      <c r="R55" s="904">
        <v>2</v>
      </c>
      <c r="S55" s="893">
        <v>0</v>
      </c>
      <c r="T55" s="893">
        <v>0</v>
      </c>
      <c r="U55" s="893">
        <v>0</v>
      </c>
      <c r="V55" s="893">
        <v>0</v>
      </c>
      <c r="W55" s="894">
        <v>0</v>
      </c>
      <c r="X55" s="894"/>
      <c r="Y55" s="684"/>
    </row>
    <row r="56" spans="1:25" ht="21.75" customHeight="1" thickBot="1">
      <c r="A56" s="952" t="s">
        <v>13</v>
      </c>
      <c r="B56" s="1212" t="s">
        <v>73</v>
      </c>
      <c r="C56" s="1212"/>
      <c r="D56" s="1212"/>
      <c r="E56" s="307">
        <f aca="true" t="shared" si="32" ref="E56:J56">E8+E22+E42+E50+E53+E33</f>
        <v>587834866</v>
      </c>
      <c r="F56" s="307">
        <f>F8+F22+F42+F50+F53+F33</f>
        <v>574382539</v>
      </c>
      <c r="G56" s="307">
        <f>G8+G22+G42+G50+G53+G33</f>
        <v>0</v>
      </c>
      <c r="H56" s="307">
        <f>H8+H22+H42+H50+H53+H33</f>
        <v>0</v>
      </c>
      <c r="I56" s="249">
        <f t="shared" si="32"/>
        <v>165260474</v>
      </c>
      <c r="J56" s="249">
        <f t="shared" si="32"/>
        <v>0</v>
      </c>
      <c r="K56" s="929">
        <f>J56/I56</f>
        <v>0</v>
      </c>
      <c r="L56" s="249">
        <f>L8+L22+L42+L50+L53+L33</f>
        <v>568154898</v>
      </c>
      <c r="M56" s="249">
        <f>M8+M22+M42+M50+M53+M33</f>
        <v>546742792</v>
      </c>
      <c r="N56" s="249">
        <f>N8+N22+N42+N50+N53+N33</f>
        <v>-115613628</v>
      </c>
      <c r="O56" s="249">
        <f>O8+O22+O42+O50+O53+O33</f>
        <v>-28681758</v>
      </c>
      <c r="P56" s="249">
        <f>P8+P22+P42+P50+P53+P33</f>
        <v>157177600</v>
      </c>
      <c r="Q56" s="249">
        <f aca="true" t="shared" si="33" ref="Q56:X56">Q8+Q22+Q42+Q50+Q53+Q33</f>
        <v>-20150631</v>
      </c>
      <c r="R56" s="747">
        <f t="shared" si="33"/>
        <v>106000013.71413538</v>
      </c>
      <c r="S56" s="307">
        <f t="shared" si="33"/>
        <v>19679968</v>
      </c>
      <c r="T56" s="307">
        <f>T8+T22+T42+T50+T53+T33</f>
        <v>27639747</v>
      </c>
      <c r="U56" s="307">
        <f>U8+U22+U42+U50+U53+U33</f>
        <v>115613628</v>
      </c>
      <c r="V56" s="307">
        <f>V8+V22+V42+V50+V53+V33</f>
        <v>123629759</v>
      </c>
      <c r="W56" s="249">
        <f>W8+W22+W42+W50+W53+W33</f>
        <v>8082874</v>
      </c>
      <c r="X56" s="249">
        <f t="shared" si="33"/>
        <v>20150631</v>
      </c>
      <c r="Y56" s="682">
        <f>W56/V56</f>
        <v>0.06537967933756143</v>
      </c>
    </row>
    <row r="57" spans="1:25" ht="24" customHeight="1" thickBot="1">
      <c r="A57" s="67" t="s">
        <v>54</v>
      </c>
      <c r="B57" s="1197" t="s">
        <v>313</v>
      </c>
      <c r="C57" s="1197"/>
      <c r="D57" s="1197"/>
      <c r="E57" s="307">
        <f aca="true" t="shared" si="34" ref="E57:J57">SUM(E58:E60)</f>
        <v>299915538</v>
      </c>
      <c r="F57" s="307">
        <f>SUM(F58:F60)</f>
        <v>299915538</v>
      </c>
      <c r="G57" s="307">
        <f>SUM(G58:G60)</f>
        <v>0</v>
      </c>
      <c r="H57" s="307">
        <f>SUM(H58:H60)</f>
        <v>0</v>
      </c>
      <c r="I57" s="249">
        <f t="shared" si="34"/>
        <v>0</v>
      </c>
      <c r="J57" s="249">
        <f t="shared" si="34"/>
        <v>0</v>
      </c>
      <c r="K57" s="929" t="e">
        <f>J57/I57</f>
        <v>#DIV/0!</v>
      </c>
      <c r="L57" s="249">
        <f>SUM(L58:L60)</f>
        <v>284279744</v>
      </c>
      <c r="M57" s="249">
        <f>SUM(M58:M60)</f>
        <v>284279744</v>
      </c>
      <c r="N57" s="249">
        <f>SUM(N58:N60)</f>
        <v>0</v>
      </c>
      <c r="O57" s="249">
        <f>SUM(O58:O60)</f>
        <v>0</v>
      </c>
      <c r="P57" s="249">
        <f>SUM(P58:P60)</f>
        <v>0</v>
      </c>
      <c r="Q57" s="249">
        <f aca="true" t="shared" si="35" ref="Q57:X57">SUM(Q58:Q60)</f>
        <v>0</v>
      </c>
      <c r="R57" s="747">
        <f t="shared" si="35"/>
        <v>0</v>
      </c>
      <c r="S57" s="307">
        <f t="shared" si="35"/>
        <v>15635794</v>
      </c>
      <c r="T57" s="307">
        <f>SUM(T58:T60)</f>
        <v>15635794</v>
      </c>
      <c r="U57" s="307">
        <f>SUM(U58:U60)</f>
        <v>0</v>
      </c>
      <c r="V57" s="307">
        <f>SUM(V58:V60)</f>
        <v>0</v>
      </c>
      <c r="W57" s="249">
        <f>SUM(W58:W60)</f>
        <v>0</v>
      </c>
      <c r="X57" s="249">
        <f t="shared" si="35"/>
        <v>0</v>
      </c>
      <c r="Y57" s="682"/>
    </row>
    <row r="58" spans="1:25" ht="21.75" customHeight="1">
      <c r="A58" s="948"/>
      <c r="B58" s="66" t="s">
        <v>45</v>
      </c>
      <c r="C58" s="1211" t="s">
        <v>504</v>
      </c>
      <c r="D58" s="1211"/>
      <c r="E58" s="892"/>
      <c r="F58" s="892"/>
      <c r="G58" s="892"/>
      <c r="H58" s="892"/>
      <c r="I58" s="878"/>
      <c r="J58" s="878"/>
      <c r="K58" s="938"/>
      <c r="L58" s="878">
        <f aca="true" t="shared" si="36" ref="L58:N60">E58</f>
        <v>0</v>
      </c>
      <c r="M58" s="878">
        <f t="shared" si="36"/>
        <v>0</v>
      </c>
      <c r="N58" s="878">
        <f t="shared" si="36"/>
        <v>0</v>
      </c>
      <c r="O58" s="937">
        <f>H58-V58</f>
        <v>0</v>
      </c>
      <c r="P58" s="878"/>
      <c r="Q58" s="878">
        <f>J58</f>
        <v>0</v>
      </c>
      <c r="R58" s="899">
        <f>K58</f>
        <v>0</v>
      </c>
      <c r="S58" s="892">
        <v>0</v>
      </c>
      <c r="T58" s="892">
        <v>0</v>
      </c>
      <c r="U58" s="892">
        <v>0</v>
      </c>
      <c r="V58" s="892">
        <v>0</v>
      </c>
      <c r="W58" s="878">
        <v>0</v>
      </c>
      <c r="X58" s="878"/>
      <c r="Y58" s="688"/>
    </row>
    <row r="59" spans="1:25" ht="21.75" customHeight="1">
      <c r="A59" s="935"/>
      <c r="B59" s="954" t="s">
        <v>46</v>
      </c>
      <c r="C59" s="1211" t="s">
        <v>482</v>
      </c>
      <c r="D59" s="1211"/>
      <c r="E59" s="889"/>
      <c r="F59" s="889"/>
      <c r="G59" s="889"/>
      <c r="H59" s="889"/>
      <c r="I59" s="890"/>
      <c r="J59" s="889"/>
      <c r="K59" s="891"/>
      <c r="L59" s="878">
        <f t="shared" si="36"/>
        <v>0</v>
      </c>
      <c r="M59" s="878">
        <f t="shared" si="36"/>
        <v>0</v>
      </c>
      <c r="N59" s="878">
        <f t="shared" si="36"/>
        <v>0</v>
      </c>
      <c r="O59" s="937">
        <f>H59-V59</f>
        <v>0</v>
      </c>
      <c r="P59" s="937">
        <f>I59-W59</f>
        <v>0</v>
      </c>
      <c r="Q59" s="878">
        <f>J59</f>
        <v>0</v>
      </c>
      <c r="R59" s="905"/>
      <c r="S59" s="889">
        <v>0</v>
      </c>
      <c r="T59" s="889">
        <v>0</v>
      </c>
      <c r="U59" s="889">
        <v>0</v>
      </c>
      <c r="V59" s="889">
        <v>0</v>
      </c>
      <c r="W59" s="890">
        <v>0</v>
      </c>
      <c r="X59" s="890"/>
      <c r="Y59" s="685"/>
    </row>
    <row r="60" spans="1:25" ht="21.75" customHeight="1" thickBot="1">
      <c r="A60" s="935"/>
      <c r="B60" s="954" t="s">
        <v>72</v>
      </c>
      <c r="C60" s="1211" t="s">
        <v>314</v>
      </c>
      <c r="D60" s="1211"/>
      <c r="E60" s="889">
        <v>299915538</v>
      </c>
      <c r="F60" s="889">
        <v>299915538</v>
      </c>
      <c r="G60" s="889"/>
      <c r="H60" s="889"/>
      <c r="I60" s="890"/>
      <c r="J60" s="889"/>
      <c r="K60" s="938"/>
      <c r="L60" s="878">
        <f>+E60-S60</f>
        <v>284279744</v>
      </c>
      <c r="M60" s="878">
        <f>+F60-T60</f>
        <v>284279744</v>
      </c>
      <c r="N60" s="878">
        <f t="shared" si="36"/>
        <v>0</v>
      </c>
      <c r="O60" s="937">
        <f>H60-V60</f>
        <v>0</v>
      </c>
      <c r="P60" s="937">
        <f>I60-W60</f>
        <v>0</v>
      </c>
      <c r="Q60" s="878">
        <f>J60</f>
        <v>0</v>
      </c>
      <c r="R60" s="899">
        <f>K60</f>
        <v>0</v>
      </c>
      <c r="S60" s="889">
        <v>15635794</v>
      </c>
      <c r="T60" s="889">
        <v>15635794</v>
      </c>
      <c r="U60" s="889">
        <v>0</v>
      </c>
      <c r="V60" s="889">
        <v>0</v>
      </c>
      <c r="W60" s="890">
        <v>0</v>
      </c>
      <c r="X60" s="890"/>
      <c r="Y60" s="685"/>
    </row>
    <row r="61" spans="1:25" ht="35.25" customHeight="1" thickBot="1">
      <c r="A61" s="952" t="s">
        <v>55</v>
      </c>
      <c r="B61" s="1268" t="s">
        <v>74</v>
      </c>
      <c r="C61" s="1268"/>
      <c r="D61" s="1268"/>
      <c r="E61" s="307">
        <f aca="true" t="shared" si="37" ref="E61:J61">E56+E57</f>
        <v>887750404</v>
      </c>
      <c r="F61" s="307">
        <f>F56+F57</f>
        <v>874298077</v>
      </c>
      <c r="G61" s="307">
        <f>G56+G57</f>
        <v>0</v>
      </c>
      <c r="H61" s="307">
        <f>H56+H57</f>
        <v>0</v>
      </c>
      <c r="I61" s="249">
        <f t="shared" si="37"/>
        <v>165260474</v>
      </c>
      <c r="J61" s="249">
        <f t="shared" si="37"/>
        <v>0</v>
      </c>
      <c r="K61" s="929">
        <f>J61/I61</f>
        <v>0</v>
      </c>
      <c r="L61" s="249">
        <f>L56+L57</f>
        <v>852434642</v>
      </c>
      <c r="M61" s="249">
        <f>M56+M57</f>
        <v>831022536</v>
      </c>
      <c r="N61" s="249">
        <f>N56+N57</f>
        <v>-115613628</v>
      </c>
      <c r="O61" s="249">
        <f>O56+O57</f>
        <v>-28681758</v>
      </c>
      <c r="P61" s="249">
        <f>P56+P57</f>
        <v>157177600</v>
      </c>
      <c r="Q61" s="249">
        <f aca="true" t="shared" si="38" ref="Q61:X61">Q56+Q57</f>
        <v>-20150631</v>
      </c>
      <c r="R61" s="747">
        <f t="shared" si="38"/>
        <v>106000013.71413538</v>
      </c>
      <c r="S61" s="307">
        <f t="shared" si="38"/>
        <v>35315762</v>
      </c>
      <c r="T61" s="307">
        <f>T56+T57</f>
        <v>43275541</v>
      </c>
      <c r="U61" s="307">
        <f>U56+U57</f>
        <v>115613628</v>
      </c>
      <c r="V61" s="307">
        <f>V56+V57</f>
        <v>123629759</v>
      </c>
      <c r="W61" s="249">
        <f>W56+W57</f>
        <v>8082874</v>
      </c>
      <c r="X61" s="249">
        <f t="shared" si="38"/>
        <v>20150631</v>
      </c>
      <c r="Y61" s="682">
        <f>W61/V61</f>
        <v>0.06537967933756143</v>
      </c>
    </row>
    <row r="62" spans="1:25" ht="21.75" customHeight="1" hidden="1" thickBot="1">
      <c r="A62" s="1269" t="s">
        <v>227</v>
      </c>
      <c r="B62" s="1270"/>
      <c r="C62" s="1270"/>
      <c r="D62" s="1270"/>
      <c r="E62" s="959"/>
      <c r="F62" s="959"/>
      <c r="G62" s="959"/>
      <c r="H62" s="959"/>
      <c r="I62" s="960"/>
      <c r="J62" s="960"/>
      <c r="K62" s="929" t="e">
        <f>J62/I62</f>
        <v>#DIV/0!</v>
      </c>
      <c r="L62" s="960"/>
      <c r="M62" s="960"/>
      <c r="N62" s="960"/>
      <c r="O62" s="960"/>
      <c r="P62" s="960"/>
      <c r="Q62" s="960"/>
      <c r="R62" s="961"/>
      <c r="S62" s="959"/>
      <c r="T62" s="959"/>
      <c r="U62" s="959"/>
      <c r="V62" s="959"/>
      <c r="W62" s="960"/>
      <c r="X62" s="960"/>
      <c r="Y62" s="962" t="e">
        <f>W62/V62</f>
        <v>#DIV/0!</v>
      </c>
    </row>
    <row r="63" spans="1:25" ht="21.75" customHeight="1" thickBot="1">
      <c r="A63" s="1267" t="s">
        <v>6</v>
      </c>
      <c r="B63" s="1268"/>
      <c r="C63" s="1268"/>
      <c r="D63" s="1268"/>
      <c r="E63" s="963">
        <f aca="true" t="shared" si="39" ref="E63:J63">E61+E62</f>
        <v>887750404</v>
      </c>
      <c r="F63" s="963">
        <f>F61+F62</f>
        <v>874298077</v>
      </c>
      <c r="G63" s="963">
        <f>G61+G62</f>
        <v>0</v>
      </c>
      <c r="H63" s="963">
        <f>H61+H62</f>
        <v>0</v>
      </c>
      <c r="I63" s="964">
        <f t="shared" si="39"/>
        <v>165260474</v>
      </c>
      <c r="J63" s="964">
        <f t="shared" si="39"/>
        <v>0</v>
      </c>
      <c r="K63" s="929">
        <f>J63/I63</f>
        <v>0</v>
      </c>
      <c r="L63" s="964">
        <f>L61+L62</f>
        <v>852434642</v>
      </c>
      <c r="M63" s="964">
        <f>M61+M62</f>
        <v>831022536</v>
      </c>
      <c r="N63" s="964">
        <f>N61+N62</f>
        <v>-115613628</v>
      </c>
      <c r="O63" s="964">
        <f>O61+O62</f>
        <v>-28681758</v>
      </c>
      <c r="P63" s="964">
        <f>P61+P62</f>
        <v>157177600</v>
      </c>
      <c r="Q63" s="964">
        <f aca="true" t="shared" si="40" ref="Q63:X63">Q61+Q62</f>
        <v>-20150631</v>
      </c>
      <c r="R63" s="965">
        <f t="shared" si="40"/>
        <v>106000013.71413538</v>
      </c>
      <c r="S63" s="963">
        <f t="shared" si="40"/>
        <v>35315762</v>
      </c>
      <c r="T63" s="963">
        <f>T61+T62</f>
        <v>43275541</v>
      </c>
      <c r="U63" s="963">
        <f>U61+U62</f>
        <v>115613628</v>
      </c>
      <c r="V63" s="963">
        <f>V61+V62</f>
        <v>123629759</v>
      </c>
      <c r="W63" s="964">
        <f>W61+W62</f>
        <v>8082874</v>
      </c>
      <c r="X63" s="964">
        <f t="shared" si="40"/>
        <v>20150631</v>
      </c>
      <c r="Y63" s="966">
        <f>W63/V63</f>
        <v>0.06537967933756143</v>
      </c>
    </row>
    <row r="64" spans="1:25" ht="21.75" customHeight="1">
      <c r="A64" s="967"/>
      <c r="B64" s="968"/>
      <c r="C64" s="968"/>
      <c r="D64" s="968"/>
      <c r="E64" s="969"/>
      <c r="F64" s="969"/>
      <c r="G64" s="970"/>
      <c r="H64" s="969"/>
      <c r="I64" s="969"/>
      <c r="J64" s="970"/>
      <c r="K64" s="969"/>
      <c r="L64" s="969"/>
      <c r="M64" s="969"/>
      <c r="N64" s="969"/>
      <c r="O64" s="970"/>
      <c r="P64" s="969"/>
      <c r="Q64" s="969"/>
      <c r="R64" s="969"/>
      <c r="S64" s="969"/>
      <c r="T64" s="969"/>
      <c r="U64" s="969"/>
      <c r="V64" s="969"/>
      <c r="W64" s="969"/>
      <c r="X64" s="969"/>
      <c r="Y64" s="969"/>
    </row>
    <row r="65" spans="1:22" ht="21.75" customHeight="1">
      <c r="A65" s="971"/>
      <c r="B65" s="972"/>
      <c r="C65" s="972"/>
      <c r="D65" s="972"/>
      <c r="E65" s="918"/>
      <c r="G65" s="957"/>
      <c r="H65" s="918"/>
      <c r="K65" s="918"/>
      <c r="L65" s="957"/>
      <c r="T65" s="918"/>
      <c r="U65" s="918"/>
      <c r="V65" s="918"/>
    </row>
    <row r="66" spans="1:22" ht="35.25" customHeight="1">
      <c r="A66" s="971"/>
      <c r="B66" s="972"/>
      <c r="C66" s="972"/>
      <c r="D66" s="972"/>
      <c r="E66" s="973" t="str">
        <f>IF(E63='4.sz.m.ÖNK kiadás'!E40," ","HIBA - eltérő összesen")</f>
        <v> </v>
      </c>
      <c r="F66" s="973" t="str">
        <f>IF(F63='4.sz.m.ÖNK kiadás'!F40," ","HIBA - eltérő összesen")</f>
        <v> </v>
      </c>
      <c r="G66" s="973"/>
      <c r="H66" s="973"/>
      <c r="I66" s="973"/>
      <c r="J66" s="973"/>
      <c r="K66" s="918"/>
      <c r="M66" s="918"/>
      <c r="N66" s="918"/>
      <c r="P66" s="918"/>
      <c r="Q66" s="918"/>
      <c r="R66" s="918"/>
      <c r="T66" s="918"/>
      <c r="U66" s="918"/>
      <c r="V66" s="918"/>
    </row>
    <row r="67" spans="1:22" ht="35.25" customHeight="1">
      <c r="A67" s="971"/>
      <c r="B67" s="972"/>
      <c r="C67" s="972"/>
      <c r="D67" s="972"/>
      <c r="E67" s="974" t="str">
        <f>IF(L63+S63=E63," ","HIBA-nincs egyenlőség")</f>
        <v> </v>
      </c>
      <c r="F67" s="974" t="str">
        <f>IF(M63+T63=F63," ","HIBA-nincs egyenlőség")</f>
        <v> </v>
      </c>
      <c r="G67" s="974"/>
      <c r="H67" s="974"/>
      <c r="I67" s="974"/>
      <c r="J67" s="974"/>
      <c r="K67" s="974"/>
      <c r="L67" s="918"/>
      <c r="M67" s="918"/>
      <c r="N67" s="918"/>
      <c r="O67" s="918"/>
      <c r="P67" s="918"/>
      <c r="Q67" s="918"/>
      <c r="R67" s="918"/>
      <c r="T67" s="918"/>
      <c r="U67" s="918"/>
      <c r="V67" s="918"/>
    </row>
    <row r="68" spans="5:22" ht="12.75">
      <c r="E68" s="918"/>
      <c r="F68" s="918"/>
      <c r="G68" s="918"/>
      <c r="H68" s="918"/>
      <c r="I68" s="918"/>
      <c r="J68" s="918"/>
      <c r="K68" s="918"/>
      <c r="L68" s="918"/>
      <c r="M68" s="918"/>
      <c r="N68" s="918"/>
      <c r="O68" s="918"/>
      <c r="P68" s="918"/>
      <c r="Q68" s="918"/>
      <c r="R68" s="918"/>
      <c r="T68" s="918"/>
      <c r="U68" s="918"/>
      <c r="V68" s="918"/>
    </row>
    <row r="69" spans="5:22" ht="12.75">
      <c r="E69" s="918"/>
      <c r="F69" s="918"/>
      <c r="G69" s="918"/>
      <c r="H69" s="918"/>
      <c r="I69" s="918"/>
      <c r="J69" s="918"/>
      <c r="K69" s="918"/>
      <c r="L69" s="918"/>
      <c r="M69" s="918"/>
      <c r="N69" s="918"/>
      <c r="O69" s="918"/>
      <c r="P69" s="918"/>
      <c r="Q69" s="918"/>
      <c r="R69" s="918"/>
      <c r="T69" s="918"/>
      <c r="U69" s="918"/>
      <c r="V69" s="918"/>
    </row>
    <row r="70" spans="5:22" ht="12.75">
      <c r="E70" s="918"/>
      <c r="F70" s="918"/>
      <c r="G70" s="918"/>
      <c r="H70" s="918"/>
      <c r="I70" s="918"/>
      <c r="J70" s="918"/>
      <c r="K70" s="918"/>
      <c r="L70" s="918"/>
      <c r="M70" s="918"/>
      <c r="N70" s="918"/>
      <c r="O70" s="918"/>
      <c r="P70" s="918"/>
      <c r="Q70" s="918"/>
      <c r="R70" s="918"/>
      <c r="T70" s="918"/>
      <c r="U70" s="918"/>
      <c r="V70" s="918"/>
    </row>
    <row r="71" spans="4:22" ht="12.75">
      <c r="D71" s="977"/>
      <c r="E71" s="918"/>
      <c r="F71" s="918"/>
      <c r="G71" s="918"/>
      <c r="H71" s="918"/>
      <c r="I71" s="918"/>
      <c r="J71" s="918"/>
      <c r="K71" s="918"/>
      <c r="L71" s="918"/>
      <c r="M71" s="918"/>
      <c r="N71" s="918"/>
      <c r="O71" s="918"/>
      <c r="P71" s="918"/>
      <c r="Q71" s="918"/>
      <c r="R71" s="918"/>
      <c r="T71" s="918"/>
      <c r="U71" s="918"/>
      <c r="V71" s="918"/>
    </row>
    <row r="72" spans="4:22" ht="48.75" customHeight="1">
      <c r="D72" s="977"/>
      <c r="E72" s="918"/>
      <c r="F72" s="918"/>
      <c r="G72" s="918"/>
      <c r="H72" s="918"/>
      <c r="I72" s="918"/>
      <c r="J72" s="918"/>
      <c r="K72" s="918"/>
      <c r="L72" s="918"/>
      <c r="M72" s="918"/>
      <c r="N72" s="918"/>
      <c r="O72" s="918"/>
      <c r="P72" s="918"/>
      <c r="Q72" s="918"/>
      <c r="R72" s="918"/>
      <c r="T72" s="918"/>
      <c r="U72" s="918"/>
      <c r="V72" s="918"/>
    </row>
    <row r="73" spans="4:22" ht="46.5" customHeight="1">
      <c r="D73" s="977"/>
      <c r="E73" s="918"/>
      <c r="F73" s="918"/>
      <c r="G73" s="918"/>
      <c r="H73" s="918"/>
      <c r="I73" s="918"/>
      <c r="J73" s="918"/>
      <c r="K73" s="918"/>
      <c r="L73" s="918"/>
      <c r="M73" s="918"/>
      <c r="N73" s="918"/>
      <c r="O73" s="918"/>
      <c r="P73" s="918"/>
      <c r="Q73" s="918"/>
      <c r="R73" s="918"/>
      <c r="T73" s="918"/>
      <c r="U73" s="918"/>
      <c r="V73" s="918"/>
    </row>
    <row r="74" spans="5:22" ht="41.25" customHeight="1">
      <c r="E74" s="918"/>
      <c r="F74" s="918"/>
      <c r="G74" s="918"/>
      <c r="H74" s="918"/>
      <c r="I74" s="918"/>
      <c r="J74" s="918"/>
      <c r="K74" s="918"/>
      <c r="L74" s="918"/>
      <c r="M74" s="918"/>
      <c r="N74" s="918"/>
      <c r="O74" s="918"/>
      <c r="P74" s="918"/>
      <c r="Q74" s="918"/>
      <c r="R74" s="918"/>
      <c r="T74" s="918"/>
      <c r="U74" s="918"/>
      <c r="V74" s="918"/>
    </row>
    <row r="75" spans="5:22" ht="12.75">
      <c r="E75" s="918"/>
      <c r="F75" s="918"/>
      <c r="G75" s="918"/>
      <c r="H75" s="918"/>
      <c r="I75" s="918"/>
      <c r="J75" s="918"/>
      <c r="K75" s="918"/>
      <c r="L75" s="918"/>
      <c r="M75" s="918"/>
      <c r="N75" s="918"/>
      <c r="O75" s="918"/>
      <c r="P75" s="918"/>
      <c r="Q75" s="918"/>
      <c r="R75" s="918"/>
      <c r="T75" s="918"/>
      <c r="U75" s="918"/>
      <c r="V75" s="918"/>
    </row>
    <row r="76" spans="5:22" ht="12.75">
      <c r="E76" s="918"/>
      <c r="F76" s="918"/>
      <c r="G76" s="918"/>
      <c r="H76" s="918"/>
      <c r="I76" s="918"/>
      <c r="J76" s="918"/>
      <c r="K76" s="918"/>
      <c r="L76" s="918"/>
      <c r="M76" s="918"/>
      <c r="N76" s="918"/>
      <c r="O76" s="918"/>
      <c r="P76" s="918"/>
      <c r="Q76" s="918"/>
      <c r="R76" s="918"/>
      <c r="T76" s="918"/>
      <c r="U76" s="918"/>
      <c r="V76" s="918"/>
    </row>
    <row r="77" spans="5:22" ht="12.75">
      <c r="E77" s="918"/>
      <c r="F77" s="918"/>
      <c r="G77" s="918"/>
      <c r="H77" s="918"/>
      <c r="I77" s="918"/>
      <c r="J77" s="918"/>
      <c r="K77" s="918"/>
      <c r="L77" s="918"/>
      <c r="M77" s="918"/>
      <c r="N77" s="918"/>
      <c r="O77" s="918"/>
      <c r="P77" s="918"/>
      <c r="Q77" s="918"/>
      <c r="R77" s="918"/>
      <c r="T77" s="918"/>
      <c r="U77" s="918"/>
      <c r="V77" s="918"/>
    </row>
    <row r="78" spans="5:22" ht="12.75">
      <c r="E78" s="918"/>
      <c r="F78" s="918"/>
      <c r="G78" s="918"/>
      <c r="H78" s="918"/>
      <c r="I78" s="918"/>
      <c r="J78" s="918"/>
      <c r="K78" s="918"/>
      <c r="L78" s="918"/>
      <c r="M78" s="918"/>
      <c r="N78" s="918"/>
      <c r="O78" s="918"/>
      <c r="P78" s="918"/>
      <c r="Q78" s="918"/>
      <c r="R78" s="918"/>
      <c r="T78" s="918"/>
      <c r="U78" s="918"/>
      <c r="V78" s="918"/>
    </row>
    <row r="79" spans="5:22" ht="12.75">
      <c r="E79" s="918"/>
      <c r="F79" s="918"/>
      <c r="G79" s="918"/>
      <c r="H79" s="918"/>
      <c r="I79" s="918"/>
      <c r="J79" s="918"/>
      <c r="K79" s="918"/>
      <c r="L79" s="918"/>
      <c r="M79" s="918"/>
      <c r="N79" s="918"/>
      <c r="O79" s="918"/>
      <c r="P79" s="918"/>
      <c r="Q79" s="918"/>
      <c r="R79" s="918"/>
      <c r="T79" s="918"/>
      <c r="U79" s="918"/>
      <c r="V79" s="918"/>
    </row>
    <row r="80" spans="5:22" ht="12.75">
      <c r="E80" s="918"/>
      <c r="F80" s="918"/>
      <c r="G80" s="918"/>
      <c r="H80" s="918"/>
      <c r="I80" s="918"/>
      <c r="J80" s="918"/>
      <c r="K80" s="918"/>
      <c r="L80" s="918"/>
      <c r="M80" s="918"/>
      <c r="N80" s="918"/>
      <c r="O80" s="918"/>
      <c r="P80" s="918"/>
      <c r="Q80" s="918"/>
      <c r="R80" s="918"/>
      <c r="T80" s="918"/>
      <c r="U80" s="918"/>
      <c r="V80" s="918"/>
    </row>
    <row r="81" spans="5:22" ht="12.75">
      <c r="E81" s="918"/>
      <c r="F81" s="918"/>
      <c r="G81" s="918"/>
      <c r="H81" s="918"/>
      <c r="I81" s="918"/>
      <c r="J81" s="918"/>
      <c r="K81" s="918"/>
      <c r="L81" s="918"/>
      <c r="M81" s="918"/>
      <c r="N81" s="918"/>
      <c r="O81" s="918"/>
      <c r="P81" s="918"/>
      <c r="Q81" s="918"/>
      <c r="R81" s="918"/>
      <c r="T81" s="918"/>
      <c r="U81" s="918"/>
      <c r="V81" s="918"/>
    </row>
    <row r="82" spans="5:22" ht="12.75">
      <c r="E82" s="918"/>
      <c r="F82" s="918"/>
      <c r="G82" s="918"/>
      <c r="H82" s="918"/>
      <c r="I82" s="918"/>
      <c r="J82" s="918"/>
      <c r="K82" s="918"/>
      <c r="L82" s="918"/>
      <c r="M82" s="918"/>
      <c r="N82" s="918"/>
      <c r="O82" s="918"/>
      <c r="P82" s="918"/>
      <c r="Q82" s="918"/>
      <c r="R82" s="918"/>
      <c r="T82" s="918"/>
      <c r="U82" s="918"/>
      <c r="V82" s="918"/>
    </row>
    <row r="83" spans="5:22" ht="12.75">
      <c r="E83" s="918"/>
      <c r="F83" s="918"/>
      <c r="G83" s="918"/>
      <c r="H83" s="918"/>
      <c r="I83" s="918"/>
      <c r="J83" s="918"/>
      <c r="K83" s="918"/>
      <c r="L83" s="918"/>
      <c r="M83" s="918"/>
      <c r="N83" s="918"/>
      <c r="O83" s="918"/>
      <c r="P83" s="918"/>
      <c r="Q83" s="918"/>
      <c r="R83" s="918"/>
      <c r="T83" s="918"/>
      <c r="U83" s="918"/>
      <c r="V83" s="918"/>
    </row>
    <row r="84" spans="5:22" ht="12.75">
      <c r="E84" s="918"/>
      <c r="F84" s="918"/>
      <c r="G84" s="918"/>
      <c r="H84" s="918"/>
      <c r="I84" s="918"/>
      <c r="J84" s="918"/>
      <c r="K84" s="918"/>
      <c r="L84" s="918"/>
      <c r="M84" s="918"/>
      <c r="N84" s="918"/>
      <c r="O84" s="918"/>
      <c r="P84" s="918"/>
      <c r="Q84" s="918"/>
      <c r="R84" s="918"/>
      <c r="T84" s="918"/>
      <c r="U84" s="918"/>
      <c r="V84" s="918"/>
    </row>
    <row r="85" spans="5:22" ht="12.75">
      <c r="E85" s="918"/>
      <c r="F85" s="918"/>
      <c r="G85" s="918"/>
      <c r="H85" s="918"/>
      <c r="I85" s="918"/>
      <c r="J85" s="918"/>
      <c r="K85" s="918"/>
      <c r="L85" s="918"/>
      <c r="M85" s="918"/>
      <c r="N85" s="918"/>
      <c r="O85" s="918"/>
      <c r="P85" s="918"/>
      <c r="Q85" s="918"/>
      <c r="R85" s="918"/>
      <c r="T85" s="918"/>
      <c r="U85" s="918"/>
      <c r="V85" s="918"/>
    </row>
    <row r="86" spans="5:22" ht="12.75">
      <c r="E86" s="918"/>
      <c r="F86" s="918"/>
      <c r="G86" s="918"/>
      <c r="H86" s="918"/>
      <c r="I86" s="918"/>
      <c r="J86" s="918"/>
      <c r="K86" s="918"/>
      <c r="L86" s="918"/>
      <c r="M86" s="918"/>
      <c r="N86" s="918"/>
      <c r="O86" s="918"/>
      <c r="P86" s="918"/>
      <c r="Q86" s="918"/>
      <c r="R86" s="918"/>
      <c r="T86" s="918"/>
      <c r="U86" s="918"/>
      <c r="V86" s="918"/>
    </row>
    <row r="87" spans="5:22" ht="12.75">
      <c r="E87" s="918"/>
      <c r="F87" s="918"/>
      <c r="G87" s="918"/>
      <c r="H87" s="918"/>
      <c r="I87" s="918"/>
      <c r="J87" s="918"/>
      <c r="K87" s="918"/>
      <c r="L87" s="918"/>
      <c r="M87" s="918"/>
      <c r="N87" s="918"/>
      <c r="O87" s="918"/>
      <c r="P87" s="918"/>
      <c r="Q87" s="918"/>
      <c r="R87" s="918"/>
      <c r="T87" s="918"/>
      <c r="U87" s="918"/>
      <c r="V87" s="918"/>
    </row>
    <row r="88" spans="5:22" ht="12.75">
      <c r="E88" s="918"/>
      <c r="F88" s="918"/>
      <c r="G88" s="918"/>
      <c r="H88" s="918"/>
      <c r="I88" s="918"/>
      <c r="J88" s="918"/>
      <c r="K88" s="918"/>
      <c r="L88" s="918"/>
      <c r="M88" s="918"/>
      <c r="N88" s="918"/>
      <c r="O88" s="918"/>
      <c r="P88" s="918"/>
      <c r="Q88" s="918"/>
      <c r="R88" s="918"/>
      <c r="T88" s="918"/>
      <c r="U88" s="918"/>
      <c r="V88" s="918"/>
    </row>
    <row r="89" spans="5:22" ht="12.75">
      <c r="E89" s="918"/>
      <c r="F89" s="918"/>
      <c r="G89" s="918"/>
      <c r="H89" s="918"/>
      <c r="I89" s="918"/>
      <c r="J89" s="918"/>
      <c r="K89" s="918"/>
      <c r="L89" s="918"/>
      <c r="M89" s="918"/>
      <c r="N89" s="918"/>
      <c r="O89" s="918"/>
      <c r="P89" s="918"/>
      <c r="Q89" s="918"/>
      <c r="R89" s="918"/>
      <c r="T89" s="918"/>
      <c r="U89" s="918"/>
      <c r="V89" s="918"/>
    </row>
    <row r="90" spans="5:22" ht="12.75">
      <c r="E90" s="918"/>
      <c r="F90" s="918"/>
      <c r="G90" s="918"/>
      <c r="H90" s="918"/>
      <c r="I90" s="918"/>
      <c r="J90" s="918"/>
      <c r="K90" s="918"/>
      <c r="L90" s="918"/>
      <c r="M90" s="918"/>
      <c r="N90" s="918"/>
      <c r="O90" s="918"/>
      <c r="P90" s="918"/>
      <c r="Q90" s="918"/>
      <c r="R90" s="918"/>
      <c r="T90" s="918"/>
      <c r="U90" s="918"/>
      <c r="V90" s="918"/>
    </row>
    <row r="91" spans="5:22" ht="12.75">
      <c r="E91" s="918"/>
      <c r="F91" s="918"/>
      <c r="G91" s="918"/>
      <c r="H91" s="918"/>
      <c r="I91" s="918"/>
      <c r="J91" s="918"/>
      <c r="K91" s="918"/>
      <c r="L91" s="918"/>
      <c r="M91" s="918"/>
      <c r="N91" s="918"/>
      <c r="O91" s="918"/>
      <c r="P91" s="918"/>
      <c r="Q91" s="918"/>
      <c r="R91" s="918"/>
      <c r="T91" s="918"/>
      <c r="U91" s="918"/>
      <c r="V91" s="918"/>
    </row>
    <row r="92" spans="5:22" ht="12.75">
      <c r="E92" s="918"/>
      <c r="F92" s="918"/>
      <c r="G92" s="918"/>
      <c r="H92" s="918"/>
      <c r="I92" s="918"/>
      <c r="J92" s="918"/>
      <c r="K92" s="918"/>
      <c r="L92" s="918"/>
      <c r="M92" s="918"/>
      <c r="N92" s="918"/>
      <c r="O92" s="918"/>
      <c r="P92" s="918"/>
      <c r="Q92" s="918"/>
      <c r="R92" s="918"/>
      <c r="T92" s="918"/>
      <c r="U92" s="918"/>
      <c r="V92" s="918"/>
    </row>
    <row r="93" spans="5:22" ht="12.75">
      <c r="E93" s="918"/>
      <c r="F93" s="918"/>
      <c r="G93" s="918"/>
      <c r="H93" s="918"/>
      <c r="I93" s="918"/>
      <c r="J93" s="918"/>
      <c r="K93" s="918"/>
      <c r="L93" s="918"/>
      <c r="M93" s="918"/>
      <c r="N93" s="918"/>
      <c r="O93" s="918"/>
      <c r="P93" s="918"/>
      <c r="Q93" s="918"/>
      <c r="R93" s="918"/>
      <c r="T93" s="918"/>
      <c r="U93" s="918"/>
      <c r="V93" s="918"/>
    </row>
    <row r="94" spans="5:22" ht="12.75">
      <c r="E94" s="918"/>
      <c r="F94" s="918"/>
      <c r="G94" s="918"/>
      <c r="H94" s="918"/>
      <c r="I94" s="918"/>
      <c r="J94" s="918"/>
      <c r="K94" s="918"/>
      <c r="L94" s="918"/>
      <c r="M94" s="918"/>
      <c r="N94" s="918"/>
      <c r="O94" s="918"/>
      <c r="P94" s="918"/>
      <c r="Q94" s="918"/>
      <c r="R94" s="918"/>
      <c r="T94" s="918"/>
      <c r="U94" s="918"/>
      <c r="V94" s="918"/>
    </row>
    <row r="95" spans="5:22" ht="12.75">
      <c r="E95" s="918"/>
      <c r="F95" s="918"/>
      <c r="G95" s="918"/>
      <c r="H95" s="918"/>
      <c r="I95" s="918"/>
      <c r="J95" s="918"/>
      <c r="K95" s="918"/>
      <c r="L95" s="918"/>
      <c r="M95" s="918"/>
      <c r="N95" s="918"/>
      <c r="O95" s="918"/>
      <c r="P95" s="918"/>
      <c r="Q95" s="918"/>
      <c r="R95" s="918"/>
      <c r="T95" s="918"/>
      <c r="U95" s="918"/>
      <c r="V95" s="918"/>
    </row>
    <row r="96" spans="5:22" ht="12.75">
      <c r="E96" s="918"/>
      <c r="F96" s="918"/>
      <c r="G96" s="918"/>
      <c r="H96" s="918"/>
      <c r="I96" s="918"/>
      <c r="J96" s="918"/>
      <c r="K96" s="918"/>
      <c r="L96" s="918"/>
      <c r="M96" s="918"/>
      <c r="N96" s="918"/>
      <c r="O96" s="918"/>
      <c r="P96" s="918"/>
      <c r="Q96" s="918"/>
      <c r="R96" s="918"/>
      <c r="T96" s="918"/>
      <c r="U96" s="918"/>
      <c r="V96" s="918"/>
    </row>
    <row r="97" spans="5:22" ht="12.75">
      <c r="E97" s="918"/>
      <c r="F97" s="918"/>
      <c r="G97" s="918"/>
      <c r="H97" s="918"/>
      <c r="I97" s="918"/>
      <c r="J97" s="918"/>
      <c r="K97" s="918"/>
      <c r="L97" s="918"/>
      <c r="M97" s="918"/>
      <c r="N97" s="918"/>
      <c r="O97" s="918"/>
      <c r="P97" s="918"/>
      <c r="Q97" s="918"/>
      <c r="R97" s="918"/>
      <c r="T97" s="918"/>
      <c r="U97" s="918"/>
      <c r="V97" s="918"/>
    </row>
    <row r="98" spans="5:22" ht="12.75">
      <c r="E98" s="918"/>
      <c r="F98" s="918"/>
      <c r="G98" s="918"/>
      <c r="H98" s="918"/>
      <c r="I98" s="918"/>
      <c r="J98" s="918"/>
      <c r="K98" s="918"/>
      <c r="L98" s="918"/>
      <c r="M98" s="918"/>
      <c r="N98" s="918"/>
      <c r="O98" s="918"/>
      <c r="P98" s="918"/>
      <c r="Q98" s="918"/>
      <c r="R98" s="918"/>
      <c r="T98" s="918"/>
      <c r="U98" s="918"/>
      <c r="V98" s="918"/>
    </row>
    <row r="99" spans="5:22" ht="12.75">
      <c r="E99" s="918"/>
      <c r="F99" s="918"/>
      <c r="G99" s="918"/>
      <c r="H99" s="918"/>
      <c r="I99" s="918"/>
      <c r="J99" s="918"/>
      <c r="K99" s="918"/>
      <c r="L99" s="918"/>
      <c r="M99" s="918"/>
      <c r="N99" s="918"/>
      <c r="O99" s="918"/>
      <c r="P99" s="918"/>
      <c r="Q99" s="918"/>
      <c r="R99" s="918"/>
      <c r="T99" s="918"/>
      <c r="U99" s="918"/>
      <c r="V99" s="918"/>
    </row>
    <row r="100" spans="5:22" ht="12.75">
      <c r="E100" s="918"/>
      <c r="F100" s="918"/>
      <c r="G100" s="918"/>
      <c r="H100" s="918"/>
      <c r="I100" s="918"/>
      <c r="J100" s="918"/>
      <c r="K100" s="918"/>
      <c r="L100" s="918"/>
      <c r="M100" s="918"/>
      <c r="N100" s="918"/>
      <c r="O100" s="918"/>
      <c r="P100" s="918"/>
      <c r="Q100" s="918"/>
      <c r="R100" s="918"/>
      <c r="T100" s="918"/>
      <c r="U100" s="918"/>
      <c r="V100" s="918"/>
    </row>
    <row r="101" spans="5:22" ht="12.75">
      <c r="E101" s="918"/>
      <c r="F101" s="918"/>
      <c r="G101" s="918"/>
      <c r="H101" s="918"/>
      <c r="I101" s="918"/>
      <c r="J101" s="918"/>
      <c r="K101" s="918"/>
      <c r="L101" s="918"/>
      <c r="M101" s="918"/>
      <c r="N101" s="918"/>
      <c r="O101" s="918"/>
      <c r="P101" s="918"/>
      <c r="Q101" s="918"/>
      <c r="R101" s="918"/>
      <c r="T101" s="918"/>
      <c r="U101" s="918"/>
      <c r="V101" s="918"/>
    </row>
    <row r="102" spans="5:22" ht="12.75">
      <c r="E102" s="918"/>
      <c r="F102" s="918"/>
      <c r="G102" s="918"/>
      <c r="H102" s="918"/>
      <c r="I102" s="918"/>
      <c r="J102" s="918"/>
      <c r="K102" s="918"/>
      <c r="L102" s="918"/>
      <c r="M102" s="918"/>
      <c r="N102" s="918"/>
      <c r="O102" s="918"/>
      <c r="P102" s="918"/>
      <c r="Q102" s="918"/>
      <c r="R102" s="918"/>
      <c r="T102" s="918"/>
      <c r="U102" s="918"/>
      <c r="V102" s="918"/>
    </row>
    <row r="103" spans="5:22" ht="12.75">
      <c r="E103" s="918"/>
      <c r="F103" s="918"/>
      <c r="G103" s="918"/>
      <c r="H103" s="918"/>
      <c r="I103" s="918"/>
      <c r="J103" s="918"/>
      <c r="K103" s="918"/>
      <c r="L103" s="918"/>
      <c r="M103" s="918"/>
      <c r="N103" s="918"/>
      <c r="O103" s="918"/>
      <c r="P103" s="918"/>
      <c r="Q103" s="918"/>
      <c r="R103" s="918"/>
      <c r="T103" s="918"/>
      <c r="U103" s="918"/>
      <c r="V103" s="918"/>
    </row>
    <row r="104" spans="5:22" ht="12.75">
      <c r="E104" s="918"/>
      <c r="F104" s="918"/>
      <c r="G104" s="918"/>
      <c r="H104" s="918"/>
      <c r="I104" s="918"/>
      <c r="J104" s="918"/>
      <c r="K104" s="918"/>
      <c r="L104" s="918"/>
      <c r="M104" s="918"/>
      <c r="N104" s="918"/>
      <c r="O104" s="918"/>
      <c r="P104" s="918"/>
      <c r="Q104" s="918"/>
      <c r="R104" s="918"/>
      <c r="T104" s="918"/>
      <c r="U104" s="918"/>
      <c r="V104" s="918"/>
    </row>
    <row r="105" spans="5:22" ht="12.75">
      <c r="E105" s="918"/>
      <c r="F105" s="918"/>
      <c r="G105" s="918"/>
      <c r="H105" s="918"/>
      <c r="I105" s="918"/>
      <c r="J105" s="918"/>
      <c r="K105" s="918"/>
      <c r="L105" s="918"/>
      <c r="M105" s="918"/>
      <c r="N105" s="918"/>
      <c r="O105" s="918"/>
      <c r="P105" s="918"/>
      <c r="Q105" s="918"/>
      <c r="R105" s="918"/>
      <c r="T105" s="918"/>
      <c r="U105" s="918"/>
      <c r="V105" s="918"/>
    </row>
    <row r="106" spans="5:22" ht="12.75">
      <c r="E106" s="918"/>
      <c r="F106" s="918"/>
      <c r="G106" s="918"/>
      <c r="H106" s="918"/>
      <c r="I106" s="918"/>
      <c r="J106" s="918"/>
      <c r="K106" s="918"/>
      <c r="L106" s="918"/>
      <c r="M106" s="918"/>
      <c r="N106" s="918"/>
      <c r="O106" s="918"/>
      <c r="P106" s="918"/>
      <c r="Q106" s="918"/>
      <c r="R106" s="918"/>
      <c r="T106" s="918"/>
      <c r="U106" s="918"/>
      <c r="V106" s="918"/>
    </row>
    <row r="107" spans="5:22" ht="12.75">
      <c r="E107" s="918"/>
      <c r="F107" s="918"/>
      <c r="G107" s="918"/>
      <c r="H107" s="918"/>
      <c r="I107" s="918"/>
      <c r="J107" s="918"/>
      <c r="K107" s="918"/>
      <c r="L107" s="918"/>
      <c r="M107" s="918"/>
      <c r="N107" s="918"/>
      <c r="O107" s="918"/>
      <c r="P107" s="918"/>
      <c r="Q107" s="918"/>
      <c r="R107" s="918"/>
      <c r="T107" s="918"/>
      <c r="U107" s="918"/>
      <c r="V107" s="918"/>
    </row>
    <row r="108" spans="5:22" ht="12.75">
      <c r="E108" s="918"/>
      <c r="F108" s="918"/>
      <c r="G108" s="918"/>
      <c r="H108" s="918"/>
      <c r="I108" s="918"/>
      <c r="J108" s="918"/>
      <c r="K108" s="918"/>
      <c r="L108" s="918"/>
      <c r="M108" s="918"/>
      <c r="N108" s="918"/>
      <c r="O108" s="918"/>
      <c r="P108" s="918"/>
      <c r="Q108" s="918"/>
      <c r="R108" s="918"/>
      <c r="T108" s="918"/>
      <c r="U108" s="918"/>
      <c r="V108" s="918"/>
    </row>
    <row r="109" spans="5:22" ht="12.75">
      <c r="E109" s="918"/>
      <c r="F109" s="918"/>
      <c r="G109" s="918"/>
      <c r="H109" s="918"/>
      <c r="I109" s="918"/>
      <c r="J109" s="918"/>
      <c r="K109" s="918"/>
      <c r="L109" s="918"/>
      <c r="M109" s="918"/>
      <c r="N109" s="918"/>
      <c r="O109" s="918"/>
      <c r="P109" s="918"/>
      <c r="Q109" s="918"/>
      <c r="R109" s="918"/>
      <c r="T109" s="918"/>
      <c r="U109" s="918"/>
      <c r="V109" s="918"/>
    </row>
    <row r="110" spans="5:22" ht="12.75">
      <c r="E110" s="918"/>
      <c r="F110" s="918"/>
      <c r="G110" s="918"/>
      <c r="H110" s="918"/>
      <c r="I110" s="918"/>
      <c r="J110" s="918"/>
      <c r="K110" s="918"/>
      <c r="L110" s="918"/>
      <c r="M110" s="918"/>
      <c r="N110" s="918"/>
      <c r="O110" s="918"/>
      <c r="P110" s="918"/>
      <c r="Q110" s="918"/>
      <c r="R110" s="918"/>
      <c r="T110" s="918"/>
      <c r="U110" s="918"/>
      <c r="V110" s="918"/>
    </row>
    <row r="111" spans="5:22" ht="12.75">
      <c r="E111" s="918"/>
      <c r="F111" s="918"/>
      <c r="G111" s="918"/>
      <c r="H111" s="918"/>
      <c r="I111" s="918"/>
      <c r="J111" s="918"/>
      <c r="K111" s="918"/>
      <c r="L111" s="918"/>
      <c r="M111" s="918"/>
      <c r="N111" s="918"/>
      <c r="O111" s="918"/>
      <c r="P111" s="918"/>
      <c r="Q111" s="918"/>
      <c r="R111" s="918"/>
      <c r="T111" s="918"/>
      <c r="U111" s="918"/>
      <c r="V111" s="918"/>
    </row>
    <row r="112" spans="5:22" ht="12.75">
      <c r="E112" s="918"/>
      <c r="F112" s="918"/>
      <c r="G112" s="918"/>
      <c r="H112" s="918"/>
      <c r="I112" s="918"/>
      <c r="J112" s="918"/>
      <c r="K112" s="918"/>
      <c r="L112" s="918"/>
      <c r="M112" s="918"/>
      <c r="N112" s="918"/>
      <c r="O112" s="918"/>
      <c r="P112" s="918"/>
      <c r="Q112" s="918"/>
      <c r="R112" s="918"/>
      <c r="T112" s="918"/>
      <c r="U112" s="918"/>
      <c r="V112" s="918"/>
    </row>
  </sheetData>
  <sheetProtection/>
  <mergeCells count="46">
    <mergeCell ref="S1:W1"/>
    <mergeCell ref="C21:D21"/>
    <mergeCell ref="C30:D30"/>
    <mergeCell ref="C31:D31"/>
    <mergeCell ref="C37:D37"/>
    <mergeCell ref="B33:D33"/>
    <mergeCell ref="C34:D34"/>
    <mergeCell ref="C35:D35"/>
    <mergeCell ref="C36:D36"/>
    <mergeCell ref="A3:S3"/>
    <mergeCell ref="A5:C5"/>
    <mergeCell ref="B7:D7"/>
    <mergeCell ref="B8:D8"/>
    <mergeCell ref="E5:K5"/>
    <mergeCell ref="L5:R5"/>
    <mergeCell ref="S5:Y5"/>
    <mergeCell ref="C9:D9"/>
    <mergeCell ref="C29:D29"/>
    <mergeCell ref="C32:D32"/>
    <mergeCell ref="C14:D14"/>
    <mergeCell ref="C17:D17"/>
    <mergeCell ref="B22:D22"/>
    <mergeCell ref="C23:D23"/>
    <mergeCell ref="C24:D24"/>
    <mergeCell ref="C25:D25"/>
    <mergeCell ref="C18:D18"/>
    <mergeCell ref="C38:D38"/>
    <mergeCell ref="B42:D42"/>
    <mergeCell ref="C43:D43"/>
    <mergeCell ref="A62:D62"/>
    <mergeCell ref="C48:D48"/>
    <mergeCell ref="C49:D49"/>
    <mergeCell ref="B50:D50"/>
    <mergeCell ref="C54:D54"/>
    <mergeCell ref="C55:D55"/>
    <mergeCell ref="C44:D44"/>
    <mergeCell ref="A63:D63"/>
    <mergeCell ref="C59:D59"/>
    <mergeCell ref="C51:D51"/>
    <mergeCell ref="C52:D52"/>
    <mergeCell ref="B61:D61"/>
    <mergeCell ref="C60:D60"/>
    <mergeCell ref="B56:D56"/>
    <mergeCell ref="B57:D57"/>
    <mergeCell ref="C58:D58"/>
    <mergeCell ref="B53:D5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zoomScale="70" zoomScaleNormal="70" zoomScalePageLayoutView="85" workbookViewId="0" topLeftCell="A1">
      <selection activeCell="T3" sqref="T3"/>
    </sheetView>
  </sheetViews>
  <sheetFormatPr defaultColWidth="9.140625" defaultRowHeight="12.75"/>
  <cols>
    <col min="1" max="1" width="5.8515625" style="79" customWidth="1"/>
    <col min="2" max="2" width="8.140625" style="86" customWidth="1"/>
    <col min="3" max="3" width="6.8515625" style="86" customWidth="1"/>
    <col min="4" max="4" width="50.140625" style="87" bestFit="1" customWidth="1"/>
    <col min="5" max="5" width="21.57421875" style="1" customWidth="1"/>
    <col min="6" max="6" width="18.421875" style="1" customWidth="1"/>
    <col min="7" max="7" width="17.00390625" style="1" hidden="1" customWidth="1"/>
    <col min="8" max="8" width="20.421875" style="1" hidden="1" customWidth="1"/>
    <col min="9" max="9" width="22.140625" style="1" hidden="1" customWidth="1"/>
    <col min="10" max="10" width="22.7109375" style="1" hidden="1" customWidth="1"/>
    <col min="11" max="11" width="11.8515625" style="1" hidden="1" customWidth="1"/>
    <col min="12" max="12" width="20.7109375" style="42" customWidth="1"/>
    <col min="13" max="13" width="16.421875" style="42" customWidth="1"/>
    <col min="14" max="14" width="18.28125" style="42" hidden="1" customWidth="1"/>
    <col min="15" max="15" width="15.7109375" style="42" hidden="1" customWidth="1"/>
    <col min="16" max="16" width="17.140625" style="42" hidden="1" customWidth="1"/>
    <col min="17" max="17" width="16.7109375" style="42" hidden="1" customWidth="1"/>
    <col min="18" max="18" width="10.8515625" style="42" hidden="1" customWidth="1"/>
    <col min="19" max="19" width="22.140625" style="42" customWidth="1"/>
    <col min="20" max="20" width="18.28125" style="42" customWidth="1"/>
    <col min="21" max="21" width="15.7109375" style="1" hidden="1" customWidth="1"/>
    <col min="22" max="22" width="17.7109375" style="1" hidden="1" customWidth="1"/>
    <col min="23" max="23" width="19.140625" style="1" hidden="1" customWidth="1"/>
    <col min="24" max="24" width="15.421875" style="1" hidden="1" customWidth="1"/>
    <col min="25" max="25" width="10.28125" style="1" hidden="1" customWidth="1"/>
    <col min="26" max="26" width="9.140625" style="1" hidden="1" customWidth="1"/>
    <col min="27" max="27" width="9.140625" style="1" customWidth="1"/>
    <col min="28" max="28" width="16.421875" style="1" customWidth="1"/>
    <col min="29" max="16384" width="9.140625" style="1" customWidth="1"/>
  </cols>
  <sheetData>
    <row r="1" spans="5:23" ht="15.75">
      <c r="E1" s="1277" t="s">
        <v>510</v>
      </c>
      <c r="F1" s="1277"/>
      <c r="G1" s="1277"/>
      <c r="H1" s="1277"/>
      <c r="I1" s="1277"/>
      <c r="J1" s="1277"/>
      <c r="K1" s="1277"/>
      <c r="L1" s="1277"/>
      <c r="M1" s="1277"/>
      <c r="N1" s="1277"/>
      <c r="O1" s="1277"/>
      <c r="P1" s="1277"/>
      <c r="Q1" s="1277"/>
      <c r="R1" s="1277"/>
      <c r="S1" s="1277"/>
      <c r="T1" s="1277"/>
      <c r="U1" s="1277"/>
      <c r="V1" s="1277"/>
      <c r="W1" s="1277"/>
    </row>
    <row r="2" spans="5:23" ht="15.75"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5"/>
      <c r="Q2" s="1185"/>
      <c r="R2" s="1185"/>
      <c r="S2" s="1185"/>
      <c r="T2" s="1185" t="s">
        <v>633</v>
      </c>
      <c r="U2" s="1185"/>
      <c r="V2" s="1185"/>
      <c r="W2" s="1185"/>
    </row>
    <row r="3" spans="1:20" ht="37.5" customHeight="1">
      <c r="A3" s="1278" t="s">
        <v>573</v>
      </c>
      <c r="B3" s="1278"/>
      <c r="C3" s="1278"/>
      <c r="D3" s="1278"/>
      <c r="E3" s="1278"/>
      <c r="F3" s="1278"/>
      <c r="G3" s="1278"/>
      <c r="H3" s="1278"/>
      <c r="I3" s="1278"/>
      <c r="J3" s="1278"/>
      <c r="K3" s="1278"/>
      <c r="L3" s="1278"/>
      <c r="M3" s="1278"/>
      <c r="N3" s="1278"/>
      <c r="O3" s="1278"/>
      <c r="P3" s="1278"/>
      <c r="Q3" s="1278"/>
      <c r="R3" s="1278"/>
      <c r="S3" s="1278"/>
      <c r="T3" s="206"/>
    </row>
    <row r="4" spans="1:19" ht="14.25" customHeight="1" thickBot="1">
      <c r="A4" s="50"/>
      <c r="B4" s="78"/>
      <c r="C4" s="78"/>
      <c r="D4" s="88"/>
      <c r="S4" s="94" t="s">
        <v>429</v>
      </c>
    </row>
    <row r="5" spans="1:25" s="2" customFormat="1" ht="48.75" customHeight="1" thickBot="1">
      <c r="A5" s="1249" t="s">
        <v>3</v>
      </c>
      <c r="B5" s="1212"/>
      <c r="C5" s="1212"/>
      <c r="D5" s="1212"/>
      <c r="E5" s="381" t="s">
        <v>4</v>
      </c>
      <c r="F5" s="340"/>
      <c r="G5" s="780"/>
      <c r="H5" s="339"/>
      <c r="I5" s="340"/>
      <c r="J5" s="845"/>
      <c r="K5" s="259"/>
      <c r="L5" s="381" t="s">
        <v>58</v>
      </c>
      <c r="M5" s="340"/>
      <c r="N5" s="780"/>
      <c r="O5" s="339"/>
      <c r="P5" s="340"/>
      <c r="Q5" s="845"/>
      <c r="R5" s="259"/>
      <c r="S5" s="1251" t="s">
        <v>59</v>
      </c>
      <c r="T5" s="1252"/>
      <c r="U5" s="1252"/>
      <c r="V5" s="1252"/>
      <c r="W5" s="1252"/>
      <c r="X5" s="1252"/>
      <c r="Y5" s="1253"/>
    </row>
    <row r="6" spans="1:25" s="2" customFormat="1" ht="16.5" thickBot="1">
      <c r="A6" s="255"/>
      <c r="B6" s="253"/>
      <c r="C6" s="253"/>
      <c r="D6" s="253"/>
      <c r="E6" s="338" t="s">
        <v>62</v>
      </c>
      <c r="F6" s="340" t="s">
        <v>215</v>
      </c>
      <c r="G6" s="780" t="s">
        <v>218</v>
      </c>
      <c r="H6" s="339" t="s">
        <v>220</v>
      </c>
      <c r="I6" s="340" t="s">
        <v>232</v>
      </c>
      <c r="J6" s="780" t="s">
        <v>237</v>
      </c>
      <c r="K6" s="687" t="s">
        <v>224</v>
      </c>
      <c r="L6" s="338" t="s">
        <v>62</v>
      </c>
      <c r="M6" s="340" t="s">
        <v>215</v>
      </c>
      <c r="N6" s="780" t="s">
        <v>218</v>
      </c>
      <c r="O6" s="339" t="s">
        <v>220</v>
      </c>
      <c r="P6" s="340" t="s">
        <v>232</v>
      </c>
      <c r="Q6" s="780" t="s">
        <v>237</v>
      </c>
      <c r="R6" s="687" t="s">
        <v>224</v>
      </c>
      <c r="S6" s="338" t="s">
        <v>62</v>
      </c>
      <c r="T6" s="339" t="s">
        <v>215</v>
      </c>
      <c r="U6" s="339" t="s">
        <v>218</v>
      </c>
      <c r="V6" s="339" t="s">
        <v>220</v>
      </c>
      <c r="W6" s="339" t="s">
        <v>232</v>
      </c>
      <c r="X6" s="339" t="s">
        <v>237</v>
      </c>
      <c r="Y6" s="859" t="s">
        <v>224</v>
      </c>
    </row>
    <row r="7" spans="1:28" s="41" customFormat="1" ht="22.5" customHeight="1" thickBot="1">
      <c r="A7" s="71" t="s">
        <v>26</v>
      </c>
      <c r="B7" s="1250" t="s">
        <v>75</v>
      </c>
      <c r="C7" s="1250"/>
      <c r="D7" s="1250"/>
      <c r="E7" s="307">
        <f aca="true" t="shared" si="0" ref="E7:J7">SUM(E8:E12)</f>
        <v>283397392</v>
      </c>
      <c r="F7" s="307">
        <f>SUM(F8:F12)</f>
        <v>291801250</v>
      </c>
      <c r="G7" s="307">
        <f>SUM(G8:G12)</f>
        <v>0</v>
      </c>
      <c r="H7" s="307">
        <f>SUM(H8:H12)</f>
        <v>0</v>
      </c>
      <c r="I7" s="747">
        <f t="shared" si="0"/>
        <v>0</v>
      </c>
      <c r="J7" s="747">
        <f t="shared" si="0"/>
        <v>0</v>
      </c>
      <c r="K7" s="655" t="e">
        <f>I7/H7</f>
        <v>#DIV/0!</v>
      </c>
      <c r="L7" s="307">
        <f aca="true" t="shared" si="1" ref="L7:S7">SUM(L8:L12)</f>
        <v>257587020</v>
      </c>
      <c r="M7" s="307">
        <f>SUM(M8:M12)</f>
        <v>258380878</v>
      </c>
      <c r="N7" s="307">
        <f>SUM(N8:N12)</f>
        <v>-40796802</v>
      </c>
      <c r="O7" s="307">
        <f t="shared" si="1"/>
        <v>-36911958</v>
      </c>
      <c r="P7" s="307">
        <f t="shared" si="1"/>
        <v>-1912866</v>
      </c>
      <c r="Q7" s="307">
        <f t="shared" si="1"/>
        <v>-1367222</v>
      </c>
      <c r="R7" s="307" t="e">
        <f t="shared" si="1"/>
        <v>#DIV/0!</v>
      </c>
      <c r="S7" s="307">
        <f t="shared" si="1"/>
        <v>25810372</v>
      </c>
      <c r="T7" s="307">
        <f>SUM(T8:T12)</f>
        <v>33420372</v>
      </c>
      <c r="U7" s="307">
        <f aca="true" t="shared" si="2" ref="U7:Z7">SUM(U8:U12)</f>
        <v>40796802</v>
      </c>
      <c r="V7" s="307">
        <f t="shared" si="2"/>
        <v>36911958</v>
      </c>
      <c r="W7" s="307">
        <f t="shared" si="2"/>
        <v>3212866</v>
      </c>
      <c r="X7" s="307">
        <f t="shared" si="2"/>
        <v>1759222</v>
      </c>
      <c r="Y7" s="307" t="e">
        <f t="shared" si="2"/>
        <v>#DIV/0!</v>
      </c>
      <c r="Z7" s="307" t="e">
        <f t="shared" si="2"/>
        <v>#DIV/0!</v>
      </c>
      <c r="AB7" s="915"/>
    </row>
    <row r="8" spans="1:28" s="5" customFormat="1" ht="22.5" customHeight="1">
      <c r="A8" s="70"/>
      <c r="B8" s="75" t="s">
        <v>34</v>
      </c>
      <c r="C8" s="75"/>
      <c r="D8" s="298" t="s">
        <v>0</v>
      </c>
      <c r="E8" s="341">
        <v>48707643</v>
      </c>
      <c r="F8" s="341">
        <v>48707643</v>
      </c>
      <c r="G8" s="341"/>
      <c r="H8" s="341"/>
      <c r="I8" s="846"/>
      <c r="J8" s="748"/>
      <c r="K8" s="656"/>
      <c r="L8" s="308">
        <f aca="true" t="shared" si="3" ref="L8:O9">E8-S8</f>
        <v>45737643</v>
      </c>
      <c r="M8" s="308">
        <f t="shared" si="3"/>
        <v>45737643</v>
      </c>
      <c r="N8" s="308">
        <f t="shared" si="3"/>
        <v>-33440000</v>
      </c>
      <c r="O8" s="308">
        <f t="shared" si="3"/>
        <v>-30250623</v>
      </c>
      <c r="P8" s="308">
        <f aca="true" t="shared" si="4" ref="P8:R9">I8</f>
        <v>0</v>
      </c>
      <c r="Q8" s="308">
        <f t="shared" si="4"/>
        <v>0</v>
      </c>
      <c r="R8" s="308">
        <f t="shared" si="4"/>
        <v>0</v>
      </c>
      <c r="S8" s="308">
        <v>2970000</v>
      </c>
      <c r="T8" s="308">
        <v>2970000</v>
      </c>
      <c r="U8" s="308">
        <f>12000000+21440000</f>
        <v>33440000</v>
      </c>
      <c r="V8" s="308">
        <f>28985000+'5.1 sz. m Köz Hiv'!S36</f>
        <v>30250623</v>
      </c>
      <c r="W8" s="308">
        <v>0</v>
      </c>
      <c r="X8" s="308">
        <v>0</v>
      </c>
      <c r="Y8" s="308">
        <v>0</v>
      </c>
      <c r="Z8" s="308">
        <v>0</v>
      </c>
      <c r="AB8" s="915"/>
    </row>
    <row r="9" spans="1:28" s="5" customFormat="1" ht="22.5" customHeight="1">
      <c r="A9" s="53"/>
      <c r="B9" s="62" t="s">
        <v>35</v>
      </c>
      <c r="C9" s="62"/>
      <c r="D9" s="299" t="s">
        <v>76</v>
      </c>
      <c r="E9" s="341">
        <v>8214106</v>
      </c>
      <c r="F9" s="341">
        <v>8214106</v>
      </c>
      <c r="G9" s="341"/>
      <c r="H9" s="341"/>
      <c r="I9" s="846"/>
      <c r="J9" s="846"/>
      <c r="K9" s="764"/>
      <c r="L9" s="308">
        <f t="shared" si="3"/>
        <v>7694356</v>
      </c>
      <c r="M9" s="308">
        <f t="shared" si="3"/>
        <v>7694356</v>
      </c>
      <c r="N9" s="308">
        <f t="shared" si="3"/>
        <v>-7356802</v>
      </c>
      <c r="O9" s="308">
        <f t="shared" si="3"/>
        <v>-6661335</v>
      </c>
      <c r="P9" s="308">
        <f t="shared" si="4"/>
        <v>0</v>
      </c>
      <c r="Q9" s="308">
        <f t="shared" si="4"/>
        <v>0</v>
      </c>
      <c r="R9" s="308">
        <f t="shared" si="4"/>
        <v>0</v>
      </c>
      <c r="S9" s="341">
        <v>519750</v>
      </c>
      <c r="T9" s="341">
        <v>519750</v>
      </c>
      <c r="U9" s="341">
        <v>7356802</v>
      </c>
      <c r="V9" s="341">
        <f>6488075+'5.1 sz. m Köz Hiv'!S37</f>
        <v>6661335</v>
      </c>
      <c r="W9" s="341">
        <v>0</v>
      </c>
      <c r="X9" s="341">
        <v>0</v>
      </c>
      <c r="Y9" s="341">
        <v>0</v>
      </c>
      <c r="Z9" s="341">
        <v>0</v>
      </c>
      <c r="AB9" s="915"/>
    </row>
    <row r="10" spans="1:28" s="5" customFormat="1" ht="22.5" customHeight="1">
      <c r="A10" s="53"/>
      <c r="B10" s="62" t="s">
        <v>36</v>
      </c>
      <c r="C10" s="62"/>
      <c r="D10" s="299" t="s">
        <v>77</v>
      </c>
      <c r="E10" s="341">
        <v>72685991</v>
      </c>
      <c r="F10" s="341">
        <v>73355791</v>
      </c>
      <c r="G10" s="341"/>
      <c r="H10" s="341"/>
      <c r="I10" s="846"/>
      <c r="J10" s="846"/>
      <c r="K10" s="764"/>
      <c r="L10" s="341">
        <f>'7.sz.m.Dologi kiadás (3)'!K39</f>
        <v>57314812</v>
      </c>
      <c r="M10" s="341">
        <f>'7.sz.m.Dologi kiadás (3)'!L39</f>
        <v>57984612</v>
      </c>
      <c r="N10" s="341">
        <f>'7.sz.m.Dologi kiadás (3)'!M39</f>
        <v>0</v>
      </c>
      <c r="O10" s="341">
        <f>'7.sz.m.Dologi kiadás (3)'!N39</f>
        <v>0</v>
      </c>
      <c r="P10" s="341">
        <f>'7.sz.m.Dologi kiadás (3)'!O39</f>
        <v>0</v>
      </c>
      <c r="Q10" s="341">
        <f>'7.sz.m.Dologi kiadás (3)'!P39</f>
        <v>0</v>
      </c>
      <c r="R10" s="341">
        <f>'7.sz.m.Dologi kiadás (3)'!Q39</f>
        <v>0</v>
      </c>
      <c r="S10" s="341">
        <f>'7.sz.m.Dologi kiadás (3)'!R39</f>
        <v>15371179</v>
      </c>
      <c r="T10" s="341">
        <f>'7.sz.m.Dologi kiadás (3)'!S39</f>
        <v>15371179</v>
      </c>
      <c r="U10" s="341">
        <f>'7.sz.m.Dologi kiadás (3)'!T39</f>
        <v>0</v>
      </c>
      <c r="V10" s="341">
        <f>'7.sz.m.Dologi kiadás (3)'!U39</f>
        <v>0</v>
      </c>
      <c r="W10" s="341">
        <f>'7.sz.m.Dologi kiadás (3)'!V39</f>
        <v>0</v>
      </c>
      <c r="X10" s="341">
        <f>'7.sz.m.Dologi kiadás (3)'!W39</f>
        <v>0</v>
      </c>
      <c r="Y10" s="341" t="e">
        <f>'7.sz.m.Dologi kiadás (3)'!X39</f>
        <v>#DIV/0!</v>
      </c>
      <c r="Z10" s="341">
        <f>'7.sz.m.Dologi kiadás (3)'!Y39</f>
        <v>0</v>
      </c>
      <c r="AB10" s="915"/>
    </row>
    <row r="11" spans="1:28" s="5" customFormat="1" ht="22.5" customHeight="1">
      <c r="A11" s="53"/>
      <c r="B11" s="62" t="s">
        <v>47</v>
      </c>
      <c r="C11" s="62"/>
      <c r="D11" s="299" t="s">
        <v>78</v>
      </c>
      <c r="E11" s="303">
        <v>2250000</v>
      </c>
      <c r="F11" s="303">
        <v>2250000</v>
      </c>
      <c r="G11" s="303"/>
      <c r="H11" s="303"/>
      <c r="I11" s="847"/>
      <c r="J11" s="847"/>
      <c r="K11" s="765"/>
      <c r="L11" s="303">
        <f>SUM('8.sz.m.szociális kiadások (2)'!C11:C16)</f>
        <v>2250000</v>
      </c>
      <c r="M11" s="303">
        <f>SUM('8.sz.m.szociális kiadások (2)'!D11:D16)</f>
        <v>2250000</v>
      </c>
      <c r="N11" s="303">
        <f>SUM('8.sz.m.szociális kiadások (2)'!E11:E18)</f>
        <v>0</v>
      </c>
      <c r="O11" s="303">
        <f>SUM('8.sz.m.szociális kiadások (2)'!F11:F18)</f>
        <v>0</v>
      </c>
      <c r="P11" s="303">
        <f>'8.sz.m.szociális kiadások (2)'!G17+'8.sz.m.szociális kiadások (2)'!G19</f>
        <v>0</v>
      </c>
      <c r="Q11" s="303">
        <f>+'8.sz.m.szociális kiadások (2)'!H22+'8.sz.m.szociális kiadások (2)'!H37</f>
        <v>392000</v>
      </c>
      <c r="R11" s="303">
        <f>'8.sz.m.szociális kiadások (2)'!I17+'8.sz.m.szociális kiadások (2)'!I19</f>
        <v>0</v>
      </c>
      <c r="S11" s="303"/>
      <c r="T11" s="303"/>
      <c r="U11" s="303"/>
      <c r="V11" s="303"/>
      <c r="W11" s="303">
        <f>SUM('8.sz.m.szociális kiadások (2)'!G11:G16)</f>
        <v>1300000</v>
      </c>
      <c r="X11" s="303"/>
      <c r="Y11" s="303">
        <f>SUM('8.sz.m.szociális kiadások (2)'!I11:I16)</f>
        <v>0</v>
      </c>
      <c r="Z11" s="303">
        <f>SUM('8.sz.m.szociális kiadások (2)'!J11:J16)</f>
        <v>0</v>
      </c>
      <c r="AB11" s="915"/>
    </row>
    <row r="12" spans="1:28" s="5" customFormat="1" ht="22.5" customHeight="1">
      <c r="A12" s="53"/>
      <c r="B12" s="62" t="s">
        <v>48</v>
      </c>
      <c r="C12" s="62"/>
      <c r="D12" s="300" t="s">
        <v>80</v>
      </c>
      <c r="E12" s="341">
        <f aca="true" t="shared" si="5" ref="E12:J12">SUM(E13:E17)</f>
        <v>151539652</v>
      </c>
      <c r="F12" s="341">
        <f>SUM(F13:F17)</f>
        <v>159273710</v>
      </c>
      <c r="G12" s="341">
        <f>SUM(G13:G17)</f>
        <v>0</v>
      </c>
      <c r="H12" s="341">
        <f>SUM(H13:H17)</f>
        <v>0</v>
      </c>
      <c r="I12" s="846">
        <f t="shared" si="5"/>
        <v>0</v>
      </c>
      <c r="J12" s="846">
        <f t="shared" si="5"/>
        <v>0</v>
      </c>
      <c r="K12" s="764" t="e">
        <f>I12/H12</f>
        <v>#DIV/0!</v>
      </c>
      <c r="L12" s="341">
        <f aca="true" t="shared" si="6" ref="L12:R12">E12-S12</f>
        <v>144590209</v>
      </c>
      <c r="M12" s="341">
        <f t="shared" si="6"/>
        <v>144714267</v>
      </c>
      <c r="N12" s="341">
        <f t="shared" si="6"/>
        <v>0</v>
      </c>
      <c r="O12" s="341">
        <f t="shared" si="6"/>
        <v>0</v>
      </c>
      <c r="P12" s="341">
        <f t="shared" si="6"/>
        <v>-1912866</v>
      </c>
      <c r="Q12" s="341">
        <f t="shared" si="6"/>
        <v>-1759222</v>
      </c>
      <c r="R12" s="341" t="e">
        <f t="shared" si="6"/>
        <v>#DIV/0!</v>
      </c>
      <c r="S12" s="341">
        <f aca="true" t="shared" si="7" ref="S12:Z12">SUM(S13:S17)</f>
        <v>6949443</v>
      </c>
      <c r="T12" s="341">
        <f>SUM(T13:T17)</f>
        <v>14559443</v>
      </c>
      <c r="U12" s="341">
        <f t="shared" si="7"/>
        <v>0</v>
      </c>
      <c r="V12" s="341">
        <f>SUM(V13:V17)</f>
        <v>0</v>
      </c>
      <c r="W12" s="341">
        <f t="shared" si="7"/>
        <v>1912866</v>
      </c>
      <c r="X12" s="341">
        <f t="shared" si="7"/>
        <v>1759222</v>
      </c>
      <c r="Y12" s="341">
        <f t="shared" si="7"/>
        <v>6</v>
      </c>
      <c r="Z12" s="341" t="e">
        <f t="shared" si="7"/>
        <v>#DIV/0!</v>
      </c>
      <c r="AB12" s="915"/>
    </row>
    <row r="13" spans="1:28" s="5" customFormat="1" ht="22.5" customHeight="1">
      <c r="A13" s="53"/>
      <c r="B13" s="85"/>
      <c r="C13" s="62" t="s">
        <v>79</v>
      </c>
      <c r="D13" s="301" t="s">
        <v>262</v>
      </c>
      <c r="E13" s="303"/>
      <c r="F13" s="303">
        <v>124058</v>
      </c>
      <c r="G13" s="303"/>
      <c r="H13" s="303"/>
      <c r="I13" s="847"/>
      <c r="J13" s="847"/>
      <c r="K13" s="765"/>
      <c r="L13" s="308">
        <f aca="true" t="shared" si="8" ref="L13:R13">E13</f>
        <v>0</v>
      </c>
      <c r="M13" s="308">
        <f t="shared" si="8"/>
        <v>124058</v>
      </c>
      <c r="N13" s="308">
        <f t="shared" si="8"/>
        <v>0</v>
      </c>
      <c r="O13" s="308">
        <f t="shared" si="8"/>
        <v>0</v>
      </c>
      <c r="P13" s="308">
        <f t="shared" si="8"/>
        <v>0</v>
      </c>
      <c r="Q13" s="308">
        <f t="shared" si="8"/>
        <v>0</v>
      </c>
      <c r="R13" s="308">
        <f t="shared" si="8"/>
        <v>0</v>
      </c>
      <c r="S13" s="303">
        <v>0</v>
      </c>
      <c r="T13" s="303">
        <v>0</v>
      </c>
      <c r="U13" s="303">
        <v>0</v>
      </c>
      <c r="V13" s="303">
        <v>0</v>
      </c>
      <c r="W13" s="303">
        <v>4</v>
      </c>
      <c r="X13" s="303">
        <v>0</v>
      </c>
      <c r="Y13" s="303">
        <v>6</v>
      </c>
      <c r="Z13" s="303">
        <v>7</v>
      </c>
      <c r="AB13" s="915"/>
    </row>
    <row r="14" spans="1:28" s="5" customFormat="1" ht="31.5" customHeight="1">
      <c r="A14" s="53"/>
      <c r="B14" s="62"/>
      <c r="C14" s="62" t="s">
        <v>81</v>
      </c>
      <c r="D14" s="299" t="s">
        <v>263</v>
      </c>
      <c r="E14" s="303">
        <v>5574495</v>
      </c>
      <c r="F14" s="303">
        <v>13184495</v>
      </c>
      <c r="G14" s="303"/>
      <c r="H14" s="303"/>
      <c r="I14" s="847"/>
      <c r="J14" s="847"/>
      <c r="K14" s="765"/>
      <c r="L14" s="303">
        <f>'9.sz.m.átadott pe (3)'!B61</f>
        <v>0</v>
      </c>
      <c r="M14" s="303">
        <f>'9.sz.m.átadott pe (3)'!C61</f>
        <v>0</v>
      </c>
      <c r="N14" s="303">
        <f>'9.sz.m.átadott pe (3)'!D61</f>
        <v>0</v>
      </c>
      <c r="O14" s="303">
        <f>'9.sz.m.átadott pe (3)'!E61</f>
        <v>0</v>
      </c>
      <c r="P14" s="303">
        <f>'9.sz.m.átadott pe (3)'!F61</f>
        <v>0</v>
      </c>
      <c r="Q14" s="303">
        <f>'9.sz.m.átadott pe (3)'!G61</f>
        <v>0</v>
      </c>
      <c r="R14" s="303">
        <f>'9.sz.m.átadott pe (3)'!H61</f>
        <v>0</v>
      </c>
      <c r="S14" s="303">
        <f>'9.sz.m.átadott pe (3)'!I61</f>
        <v>5574495</v>
      </c>
      <c r="T14" s="303">
        <f>'9.sz.m.átadott pe (3)'!J61</f>
        <v>13184495</v>
      </c>
      <c r="U14" s="303">
        <f>'9.sz.m.átadott pe (3)'!K61</f>
        <v>0</v>
      </c>
      <c r="V14" s="303">
        <f>'9.sz.m.átadott pe (3)'!L61</f>
        <v>0</v>
      </c>
      <c r="W14" s="303">
        <f>'9.sz.m.átadott pe (3)'!M61</f>
        <v>153640</v>
      </c>
      <c r="X14" s="303">
        <f>'9.sz.m.átadott pe (3)'!N61</f>
        <v>0</v>
      </c>
      <c r="Y14" s="303">
        <f>'9.sz.m.átadott pe (3)'!O61</f>
        <v>0</v>
      </c>
      <c r="Z14" s="303" t="e">
        <f>'9.sz.m.átadott pe (3)'!P61</f>
        <v>#DIV/0!</v>
      </c>
      <c r="AB14" s="915"/>
    </row>
    <row r="15" spans="1:28" s="5" customFormat="1" ht="36.75" customHeight="1" thickBot="1">
      <c r="A15" s="81"/>
      <c r="B15" s="82"/>
      <c r="C15" s="62" t="s">
        <v>82</v>
      </c>
      <c r="D15" s="299" t="s">
        <v>264</v>
      </c>
      <c r="E15" s="303">
        <v>145965157</v>
      </c>
      <c r="F15" s="303">
        <v>145965157</v>
      </c>
      <c r="G15" s="303"/>
      <c r="H15" s="303"/>
      <c r="I15" s="847"/>
      <c r="J15" s="847"/>
      <c r="K15" s="765"/>
      <c r="L15" s="303">
        <f>'9.sz.m.átadott pe (3)'!B89</f>
        <v>144590209</v>
      </c>
      <c r="M15" s="303">
        <f>'9.sz.m.átadott pe (3)'!C89</f>
        <v>144590209</v>
      </c>
      <c r="N15" s="303">
        <f>'9.sz.m.átadott pe (3)'!D89</f>
        <v>0</v>
      </c>
      <c r="O15" s="303">
        <f>'9.sz.m.átadott pe (3)'!E89</f>
        <v>0</v>
      </c>
      <c r="P15" s="303">
        <f>'9.sz.m.átadott pe (3)'!F89</f>
        <v>348530</v>
      </c>
      <c r="Q15" s="303">
        <f>'9.sz.m.átadott pe (3)'!G89</f>
        <v>878660</v>
      </c>
      <c r="R15" s="303" t="e">
        <f>'9.sz.m.átadott pe (3)'!H89</f>
        <v>#DIV/0!</v>
      </c>
      <c r="S15" s="303">
        <f>'9.sz.m.átadott pe (3)'!I89</f>
        <v>1374948</v>
      </c>
      <c r="T15" s="303">
        <f>'9.sz.m.átadott pe (3)'!J89</f>
        <v>1374948</v>
      </c>
      <c r="U15" s="303">
        <f>'9.sz.m.átadott pe (3)'!K89</f>
        <v>0</v>
      </c>
      <c r="V15" s="303">
        <f>'9.sz.m.átadott pe (3)'!L89</f>
        <v>0</v>
      </c>
      <c r="W15" s="303">
        <f>'9.sz.m.átadott pe (3)'!M89</f>
        <v>1759222</v>
      </c>
      <c r="X15" s="303">
        <f>'9.sz.m.átadott pe (3)'!N89</f>
        <v>1759222</v>
      </c>
      <c r="Y15" s="303">
        <f>'9.sz.m.átadott pe (3)'!O89</f>
        <v>0</v>
      </c>
      <c r="Z15" s="303" t="e">
        <f>'9.sz.m.átadott pe (3)'!P89</f>
        <v>#DIV/0!</v>
      </c>
      <c r="AB15" s="915"/>
    </row>
    <row r="16" spans="1:28" s="5" customFormat="1" ht="22.5" customHeight="1" hidden="1">
      <c r="A16" s="53"/>
      <c r="B16" s="62"/>
      <c r="C16" s="62" t="s">
        <v>85</v>
      </c>
      <c r="D16" s="299" t="s">
        <v>87</v>
      </c>
      <c r="E16" s="341"/>
      <c r="F16" s="341"/>
      <c r="G16" s="341"/>
      <c r="H16" s="341"/>
      <c r="I16" s="846"/>
      <c r="J16" s="846"/>
      <c r="K16" s="764" t="e">
        <f>I16/H16</f>
        <v>#DIV/0!</v>
      </c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B16" s="915"/>
    </row>
    <row r="17" spans="1:28" s="5" customFormat="1" ht="22.5" customHeight="1" hidden="1" thickBot="1">
      <c r="A17" s="89"/>
      <c r="B17" s="76"/>
      <c r="C17" s="76" t="s">
        <v>86</v>
      </c>
      <c r="D17" s="302" t="s">
        <v>88</v>
      </c>
      <c r="E17" s="313"/>
      <c r="F17" s="313"/>
      <c r="G17" s="313"/>
      <c r="H17" s="313"/>
      <c r="I17" s="752"/>
      <c r="J17" s="752"/>
      <c r="K17" s="659" t="e">
        <f>I17/H17</f>
        <v>#DIV/0!</v>
      </c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B17" s="915"/>
    </row>
    <row r="18" spans="1:26" s="5" customFormat="1" ht="22.5" customHeight="1" thickBot="1">
      <c r="A18" s="71" t="s">
        <v>27</v>
      </c>
      <c r="B18" s="1250" t="s">
        <v>89</v>
      </c>
      <c r="C18" s="1250"/>
      <c r="D18" s="1250"/>
      <c r="E18" s="309">
        <f aca="true" t="shared" si="9" ref="E18:J18">SUM(E19:E21)</f>
        <v>263047442</v>
      </c>
      <c r="F18" s="309">
        <f>SUM(F19:F21)</f>
        <v>249787015</v>
      </c>
      <c r="G18" s="309">
        <f>SUM(G19:G21)</f>
        <v>0</v>
      </c>
      <c r="H18" s="309">
        <f>SUM(H19:H21)</f>
        <v>0</v>
      </c>
      <c r="I18" s="749">
        <f t="shared" si="9"/>
        <v>0</v>
      </c>
      <c r="J18" s="749">
        <f t="shared" si="9"/>
        <v>0</v>
      </c>
      <c r="K18" s="657" t="e">
        <f>I18/H18</f>
        <v>#DIV/0!</v>
      </c>
      <c r="L18" s="309">
        <f aca="true" t="shared" si="10" ref="L18:S18">SUM(L19:L21)</f>
        <v>254980935</v>
      </c>
      <c r="M18" s="309">
        <f>SUM(M19:M21)</f>
        <v>241370729</v>
      </c>
      <c r="N18" s="309">
        <f>SUM(N19:N21)</f>
        <v>389645762</v>
      </c>
      <c r="O18" s="309">
        <f t="shared" si="10"/>
        <v>0</v>
      </c>
      <c r="P18" s="309" t="e">
        <f t="shared" si="10"/>
        <v>#REF!</v>
      </c>
      <c r="Q18" s="309" t="e">
        <f t="shared" si="10"/>
        <v>#REF!</v>
      </c>
      <c r="R18" s="309" t="e">
        <f t="shared" si="10"/>
        <v>#REF!</v>
      </c>
      <c r="S18" s="309">
        <f t="shared" si="10"/>
        <v>8066507</v>
      </c>
      <c r="T18" s="309">
        <f>SUM(T19:T21)</f>
        <v>8416286</v>
      </c>
      <c r="U18" s="309">
        <f aca="true" t="shared" si="11" ref="U18:Z18">SUM(U19:U21)</f>
        <v>4195548</v>
      </c>
      <c r="V18" s="309">
        <f t="shared" si="11"/>
        <v>0</v>
      </c>
      <c r="W18" s="309">
        <f t="shared" si="11"/>
        <v>4870000</v>
      </c>
      <c r="X18" s="309">
        <f t="shared" si="11"/>
        <v>0</v>
      </c>
      <c r="Y18" s="309" t="e">
        <f t="shared" si="11"/>
        <v>#DIV/0!</v>
      </c>
      <c r="Z18" s="309">
        <f t="shared" si="11"/>
        <v>0</v>
      </c>
    </row>
    <row r="19" spans="1:26" s="5" customFormat="1" ht="22.5" customHeight="1">
      <c r="A19" s="70"/>
      <c r="B19" s="75" t="s">
        <v>37</v>
      </c>
      <c r="C19" s="1255" t="s">
        <v>90</v>
      </c>
      <c r="D19" s="1255"/>
      <c r="E19" s="308">
        <v>60716012</v>
      </c>
      <c r="F19" s="308">
        <v>58497536</v>
      </c>
      <c r="G19" s="308"/>
      <c r="H19" s="308"/>
      <c r="I19" s="748"/>
      <c r="J19" s="748"/>
      <c r="K19" s="656"/>
      <c r="L19" s="308">
        <f>+E19-S19</f>
        <v>60716012</v>
      </c>
      <c r="M19" s="308">
        <f>+F19-T19</f>
        <v>58307876</v>
      </c>
      <c r="N19" s="308">
        <v>116422453</v>
      </c>
      <c r="O19" s="308">
        <f>+'6.a.sz.m.fejlesztés (4)'!G22-'6.a.sz.m.fejlesztés (4)'!G13</f>
        <v>0</v>
      </c>
      <c r="P19" s="308" t="e">
        <f>#REF!</f>
        <v>#REF!</v>
      </c>
      <c r="Q19" s="308" t="e">
        <f>#REF!</f>
        <v>#REF!</v>
      </c>
      <c r="R19" s="308" t="e">
        <f>#REF!</f>
        <v>#REF!</v>
      </c>
      <c r="S19" s="308">
        <f>+'6.a.sz.m.fejlesztés (4)'!D13</f>
        <v>0</v>
      </c>
      <c r="T19" s="308">
        <f>+'6.a.sz.m.fejlesztés (4)'!E13</f>
        <v>189660</v>
      </c>
      <c r="U19" s="308">
        <v>4195548</v>
      </c>
      <c r="V19" s="308">
        <f>+'6.a.sz.m.fejlesztés (4)'!G13</f>
        <v>0</v>
      </c>
      <c r="W19" s="308">
        <v>0</v>
      </c>
      <c r="X19" s="308">
        <v>0</v>
      </c>
      <c r="Y19" s="308">
        <v>0</v>
      </c>
      <c r="Z19" s="308">
        <v>0</v>
      </c>
    </row>
    <row r="20" spans="1:26" s="5" customFormat="1" ht="22.5" customHeight="1">
      <c r="A20" s="53"/>
      <c r="B20" s="62" t="s">
        <v>38</v>
      </c>
      <c r="C20" s="1256" t="s">
        <v>91</v>
      </c>
      <c r="D20" s="1256"/>
      <c r="E20" s="303">
        <v>196331430</v>
      </c>
      <c r="F20" s="303">
        <v>185289479</v>
      </c>
      <c r="G20" s="303"/>
      <c r="H20" s="303"/>
      <c r="I20" s="847"/>
      <c r="J20" s="847"/>
      <c r="K20" s="765"/>
      <c r="L20" s="308">
        <f>+E20-S20</f>
        <v>194264923</v>
      </c>
      <c r="M20" s="308">
        <f>+F20-T20</f>
        <v>183062853</v>
      </c>
      <c r="N20" s="303">
        <v>273223309</v>
      </c>
      <c r="O20" s="303">
        <f>+'6.a.sz.m.fejlesztés (4)'!G42-'6.a.sz.m.fejlesztés (4)'!G33</f>
        <v>0</v>
      </c>
      <c r="P20" s="303" t="e">
        <f>#REF!</f>
        <v>#REF!</v>
      </c>
      <c r="Q20" s="303" t="e">
        <f>#REF!</f>
        <v>#REF!</v>
      </c>
      <c r="R20" s="303" t="e">
        <f>#REF!</f>
        <v>#REF!</v>
      </c>
      <c r="S20" s="303">
        <f>+'6.a.sz.m.fejlesztés (4)'!D33</f>
        <v>2066507</v>
      </c>
      <c r="T20" s="303">
        <f>+'6.a.sz.m.fejlesztés (4)'!E33</f>
        <v>2226626</v>
      </c>
      <c r="U20" s="303">
        <v>0</v>
      </c>
      <c r="V20" s="303">
        <f>+'6.a.sz.m.fejlesztés (4)'!G33</f>
        <v>0</v>
      </c>
      <c r="W20" s="303">
        <v>0</v>
      </c>
      <c r="X20" s="303">
        <v>0</v>
      </c>
      <c r="Y20" s="303">
        <v>0</v>
      </c>
      <c r="Z20" s="303">
        <v>0</v>
      </c>
    </row>
    <row r="21" spans="1:26" s="5" customFormat="1" ht="22.5" customHeight="1">
      <c r="A21" s="83"/>
      <c r="B21" s="62" t="s">
        <v>39</v>
      </c>
      <c r="C21" s="1247" t="s">
        <v>92</v>
      </c>
      <c r="D21" s="1247"/>
      <c r="E21" s="341">
        <f aca="true" t="shared" si="12" ref="E21:L21">SUM(E22:E25)</f>
        <v>6000000</v>
      </c>
      <c r="F21" s="341">
        <f>SUM(F22:F25)</f>
        <v>6000000</v>
      </c>
      <c r="G21" s="341">
        <f>SUM(G22:G25)</f>
        <v>0</v>
      </c>
      <c r="H21" s="341">
        <f>SUM(H22:H25)</f>
        <v>0</v>
      </c>
      <c r="I21" s="846">
        <f t="shared" si="12"/>
        <v>0</v>
      </c>
      <c r="J21" s="846">
        <f t="shared" si="12"/>
        <v>0</v>
      </c>
      <c r="K21" s="341">
        <f t="shared" si="12"/>
        <v>0</v>
      </c>
      <c r="L21" s="341">
        <f t="shared" si="12"/>
        <v>0</v>
      </c>
      <c r="M21" s="341">
        <f aca="true" t="shared" si="13" ref="M21:T21">SUM(M22:M25)</f>
        <v>0</v>
      </c>
      <c r="N21" s="341">
        <f t="shared" si="13"/>
        <v>0</v>
      </c>
      <c r="O21" s="341">
        <f t="shared" si="13"/>
        <v>0</v>
      </c>
      <c r="P21" s="341">
        <f t="shared" si="13"/>
        <v>-4870000</v>
      </c>
      <c r="Q21" s="341">
        <f t="shared" si="13"/>
        <v>0</v>
      </c>
      <c r="R21" s="341" t="e">
        <f t="shared" si="13"/>
        <v>#DIV/0!</v>
      </c>
      <c r="S21" s="341">
        <f t="shared" si="13"/>
        <v>6000000</v>
      </c>
      <c r="T21" s="341">
        <f t="shared" si="13"/>
        <v>6000000</v>
      </c>
      <c r="U21" s="341">
        <f aca="true" t="shared" si="14" ref="U21:Z21">SUM(U22:U25)</f>
        <v>0</v>
      </c>
      <c r="V21" s="341">
        <f t="shared" si="14"/>
        <v>0</v>
      </c>
      <c r="W21" s="341">
        <f t="shared" si="14"/>
        <v>4870000</v>
      </c>
      <c r="X21" s="341">
        <f t="shared" si="14"/>
        <v>0</v>
      </c>
      <c r="Y21" s="341" t="e">
        <f t="shared" si="14"/>
        <v>#DIV/0!</v>
      </c>
      <c r="Z21" s="341">
        <f t="shared" si="14"/>
        <v>0</v>
      </c>
    </row>
    <row r="22" spans="1:26" s="5" customFormat="1" ht="22.5" customHeight="1">
      <c r="A22" s="59"/>
      <c r="B22" s="63"/>
      <c r="C22" s="63" t="s">
        <v>93</v>
      </c>
      <c r="D22" s="208" t="s">
        <v>83</v>
      </c>
      <c r="E22" s="303">
        <v>6000000</v>
      </c>
      <c r="F22" s="303">
        <v>6000000</v>
      </c>
      <c r="G22" s="303"/>
      <c r="H22" s="303"/>
      <c r="I22" s="847"/>
      <c r="J22" s="847"/>
      <c r="K22" s="765"/>
      <c r="L22" s="341">
        <f aca="true" t="shared" si="15" ref="L22:R22">E22-S22</f>
        <v>0</v>
      </c>
      <c r="M22" s="341">
        <f t="shared" si="15"/>
        <v>0</v>
      </c>
      <c r="N22" s="341">
        <f t="shared" si="15"/>
        <v>0</v>
      </c>
      <c r="O22" s="341">
        <f t="shared" si="15"/>
        <v>0</v>
      </c>
      <c r="P22" s="341">
        <f t="shared" si="15"/>
        <v>-4870000</v>
      </c>
      <c r="Q22" s="341">
        <f t="shared" si="15"/>
        <v>0</v>
      </c>
      <c r="R22" s="341" t="e">
        <f t="shared" si="15"/>
        <v>#DIV/0!</v>
      </c>
      <c r="S22" s="303">
        <f>'9.sz.m.átadott pe (3)'!V61</f>
        <v>6000000</v>
      </c>
      <c r="T22" s="303">
        <f>'9.sz.m.átadott pe (3)'!W61</f>
        <v>6000000</v>
      </c>
      <c r="U22" s="303">
        <f>'9.sz.m.átadott pe (3)'!X61</f>
        <v>0</v>
      </c>
      <c r="V22" s="303">
        <f>'9.sz.m.átadott pe (3)'!Y61</f>
        <v>0</v>
      </c>
      <c r="W22" s="303">
        <f>'9.sz.m.átadott pe (3)'!Z61</f>
        <v>4870000</v>
      </c>
      <c r="X22" s="303">
        <f>'9.sz.m.átadott pe (3)'!AA61</f>
        <v>0</v>
      </c>
      <c r="Y22" s="303" t="e">
        <f>'9.sz.m.átadott pe (3)'!AB61</f>
        <v>#DIV/0!</v>
      </c>
      <c r="Z22" s="303">
        <f>'9.sz.m.átadott pe (3)'!AC61</f>
        <v>0</v>
      </c>
    </row>
    <row r="23" spans="1:26" s="5" customFormat="1" ht="22.5" customHeight="1">
      <c r="A23" s="59"/>
      <c r="B23" s="63"/>
      <c r="C23" s="63" t="s">
        <v>94</v>
      </c>
      <c r="D23" s="208" t="s">
        <v>84</v>
      </c>
      <c r="E23" s="303"/>
      <c r="F23" s="303"/>
      <c r="G23" s="303"/>
      <c r="H23" s="303"/>
      <c r="I23" s="847"/>
      <c r="J23" s="847"/>
      <c r="K23" s="765"/>
      <c r="L23" s="303">
        <v>0</v>
      </c>
      <c r="M23" s="303">
        <v>0</v>
      </c>
      <c r="N23" s="303">
        <v>0</v>
      </c>
      <c r="O23" s="303">
        <v>0</v>
      </c>
      <c r="P23" s="303">
        <v>0</v>
      </c>
      <c r="Q23" s="303">
        <v>0</v>
      </c>
      <c r="R23" s="303">
        <v>0</v>
      </c>
      <c r="S23" s="303">
        <v>0</v>
      </c>
      <c r="T23" s="303">
        <v>0</v>
      </c>
      <c r="U23" s="303">
        <v>0</v>
      </c>
      <c r="V23" s="303">
        <v>0</v>
      </c>
      <c r="W23" s="303">
        <v>0</v>
      </c>
      <c r="X23" s="303">
        <v>0</v>
      </c>
      <c r="Y23" s="303">
        <v>0</v>
      </c>
      <c r="Z23" s="303">
        <v>0</v>
      </c>
    </row>
    <row r="24" spans="1:26" s="5" customFormat="1" ht="36.75" customHeight="1">
      <c r="A24" s="83"/>
      <c r="B24" s="208"/>
      <c r="C24" s="63" t="s">
        <v>95</v>
      </c>
      <c r="D24" s="208" t="s">
        <v>455</v>
      </c>
      <c r="E24" s="341"/>
      <c r="F24" s="341"/>
      <c r="G24" s="341"/>
      <c r="H24" s="341"/>
      <c r="I24" s="846"/>
      <c r="J24" s="846"/>
      <c r="K24" s="764"/>
      <c r="L24" s="341">
        <v>0</v>
      </c>
      <c r="M24" s="341">
        <v>0</v>
      </c>
      <c r="N24" s="341">
        <v>0</v>
      </c>
      <c r="O24" s="341">
        <v>0</v>
      </c>
      <c r="P24" s="341">
        <v>0</v>
      </c>
      <c r="Q24" s="341">
        <v>0</v>
      </c>
      <c r="R24" s="341">
        <v>0</v>
      </c>
      <c r="S24" s="341">
        <v>0</v>
      </c>
      <c r="T24" s="341">
        <v>0</v>
      </c>
      <c r="U24" s="341">
        <v>0</v>
      </c>
      <c r="V24" s="341">
        <v>0</v>
      </c>
      <c r="W24" s="341">
        <v>0</v>
      </c>
      <c r="X24" s="341">
        <v>0</v>
      </c>
      <c r="Y24" s="341">
        <v>0</v>
      </c>
      <c r="Z24" s="341">
        <v>0</v>
      </c>
    </row>
    <row r="25" spans="1:26" s="5" customFormat="1" ht="22.5" customHeight="1" thickBot="1">
      <c r="A25" s="232"/>
      <c r="B25" s="233"/>
      <c r="C25" s="234" t="s">
        <v>202</v>
      </c>
      <c r="D25" s="233" t="s">
        <v>203</v>
      </c>
      <c r="E25" s="343">
        <v>0</v>
      </c>
      <c r="F25" s="343">
        <v>0</v>
      </c>
      <c r="G25" s="343">
        <v>0</v>
      </c>
      <c r="H25" s="343">
        <v>0</v>
      </c>
      <c r="I25" s="848">
        <v>0</v>
      </c>
      <c r="J25" s="848">
        <v>0</v>
      </c>
      <c r="K25" s="766"/>
      <c r="L25" s="343">
        <v>0</v>
      </c>
      <c r="M25" s="343">
        <v>0</v>
      </c>
      <c r="N25" s="343">
        <v>0</v>
      </c>
      <c r="O25" s="343">
        <v>0</v>
      </c>
      <c r="P25" s="343">
        <v>0</v>
      </c>
      <c r="Q25" s="343">
        <v>0</v>
      </c>
      <c r="R25" s="343">
        <v>0</v>
      </c>
      <c r="S25" s="343">
        <v>0</v>
      </c>
      <c r="T25" s="343">
        <v>0</v>
      </c>
      <c r="U25" s="343">
        <v>0</v>
      </c>
      <c r="V25" s="343">
        <v>0</v>
      </c>
      <c r="W25" s="343">
        <v>0</v>
      </c>
      <c r="X25" s="343">
        <v>0</v>
      </c>
      <c r="Y25" s="343">
        <v>0</v>
      </c>
      <c r="Z25" s="343">
        <v>0</v>
      </c>
    </row>
    <row r="26" spans="1:26" s="5" customFormat="1" ht="22.5" customHeight="1" thickBot="1">
      <c r="A26" s="71" t="s">
        <v>9</v>
      </c>
      <c r="B26" s="1250" t="s">
        <v>96</v>
      </c>
      <c r="C26" s="1250"/>
      <c r="D26" s="1250"/>
      <c r="E26" s="309">
        <f aca="true" t="shared" si="16" ref="E26:J26">SUM(E27:E29)</f>
        <v>88768165</v>
      </c>
      <c r="F26" s="309">
        <f>SUM(F27:F29)</f>
        <v>80172407</v>
      </c>
      <c r="G26" s="309">
        <f>SUM(G27:G29)</f>
        <v>0</v>
      </c>
      <c r="H26" s="309">
        <f>SUM(H27:H29)</f>
        <v>0</v>
      </c>
      <c r="I26" s="749">
        <f t="shared" si="16"/>
        <v>57410165</v>
      </c>
      <c r="J26" s="749">
        <f t="shared" si="16"/>
        <v>0</v>
      </c>
      <c r="K26" s="657" t="e">
        <f>I26/H26</f>
        <v>#DIV/0!</v>
      </c>
      <c r="L26" s="309">
        <f aca="true" t="shared" si="17" ref="L26:S26">SUM(L27:L29)</f>
        <v>88768165</v>
      </c>
      <c r="M26" s="309">
        <f>SUM(M27:M29)</f>
        <v>80172407</v>
      </c>
      <c r="N26" s="309">
        <f>SUM(N27:N29)</f>
        <v>0</v>
      </c>
      <c r="O26" s="309">
        <f t="shared" si="17"/>
        <v>0</v>
      </c>
      <c r="P26" s="309">
        <f t="shared" si="17"/>
        <v>57410165</v>
      </c>
      <c r="Q26" s="309">
        <f t="shared" si="17"/>
        <v>0</v>
      </c>
      <c r="R26" s="309">
        <f t="shared" si="17"/>
        <v>0</v>
      </c>
      <c r="S26" s="309">
        <f t="shared" si="17"/>
        <v>0</v>
      </c>
      <c r="T26" s="309">
        <f>SUM(T27:T29)</f>
        <v>0</v>
      </c>
      <c r="U26" s="309">
        <f aca="true" t="shared" si="18" ref="U26:Z26">SUM(U27:U29)</f>
        <v>0</v>
      </c>
      <c r="V26" s="309">
        <f t="shared" si="18"/>
        <v>0</v>
      </c>
      <c r="W26" s="309">
        <f t="shared" si="18"/>
        <v>0</v>
      </c>
      <c r="X26" s="309">
        <f t="shared" si="18"/>
        <v>0</v>
      </c>
      <c r="Y26" s="309">
        <f t="shared" si="18"/>
        <v>0</v>
      </c>
      <c r="Z26" s="309">
        <f t="shared" si="18"/>
        <v>0</v>
      </c>
    </row>
    <row r="27" spans="1:26" s="5" customFormat="1" ht="22.5" customHeight="1">
      <c r="A27" s="70"/>
      <c r="B27" s="75" t="s">
        <v>40</v>
      </c>
      <c r="C27" s="1255" t="s">
        <v>2</v>
      </c>
      <c r="D27" s="1255"/>
      <c r="E27" s="308">
        <v>88768165</v>
      </c>
      <c r="F27" s="308">
        <v>80172407</v>
      </c>
      <c r="G27" s="308"/>
      <c r="H27" s="308">
        <v>0</v>
      </c>
      <c r="I27" s="748">
        <f>77145471+763332-1957000-14999-538480-76862-144780-20143661-499567+200000+8686148+114482+2895383-9019302</f>
        <v>57410165</v>
      </c>
      <c r="J27" s="748">
        <v>0</v>
      </c>
      <c r="K27" s="656"/>
      <c r="L27" s="308">
        <f aca="true" t="shared" si="19" ref="L27:R27">E27</f>
        <v>88768165</v>
      </c>
      <c r="M27" s="308">
        <f t="shared" si="19"/>
        <v>80172407</v>
      </c>
      <c r="N27" s="308">
        <f t="shared" si="19"/>
        <v>0</v>
      </c>
      <c r="O27" s="308">
        <f t="shared" si="19"/>
        <v>0</v>
      </c>
      <c r="P27" s="308">
        <f t="shared" si="19"/>
        <v>57410165</v>
      </c>
      <c r="Q27" s="308">
        <f t="shared" si="19"/>
        <v>0</v>
      </c>
      <c r="R27" s="308">
        <f t="shared" si="19"/>
        <v>0</v>
      </c>
      <c r="S27" s="308">
        <v>0</v>
      </c>
      <c r="T27" s="308">
        <v>0</v>
      </c>
      <c r="U27" s="308">
        <v>0</v>
      </c>
      <c r="V27" s="308">
        <v>0</v>
      </c>
      <c r="W27" s="308">
        <v>0</v>
      </c>
      <c r="X27" s="308">
        <v>0</v>
      </c>
      <c r="Y27" s="308">
        <v>0</v>
      </c>
      <c r="Z27" s="308">
        <v>0</v>
      </c>
    </row>
    <row r="28" spans="1:26" s="8" customFormat="1" ht="22.5" customHeight="1">
      <c r="A28" s="84"/>
      <c r="B28" s="62" t="s">
        <v>41</v>
      </c>
      <c r="C28" s="1254" t="s">
        <v>265</v>
      </c>
      <c r="D28" s="1254"/>
      <c r="E28" s="303">
        <v>0</v>
      </c>
      <c r="F28" s="303">
        <v>0</v>
      </c>
      <c r="G28" s="303">
        <v>0</v>
      </c>
      <c r="H28" s="303">
        <v>0</v>
      </c>
      <c r="I28" s="847">
        <v>0</v>
      </c>
      <c r="J28" s="847">
        <v>0</v>
      </c>
      <c r="K28" s="765"/>
      <c r="L28" s="303">
        <v>0</v>
      </c>
      <c r="M28" s="303">
        <v>0</v>
      </c>
      <c r="N28" s="303">
        <v>0</v>
      </c>
      <c r="O28" s="303">
        <v>0</v>
      </c>
      <c r="P28" s="303">
        <v>0</v>
      </c>
      <c r="Q28" s="303">
        <v>0</v>
      </c>
      <c r="R28" s="303">
        <v>0</v>
      </c>
      <c r="S28" s="303">
        <v>0</v>
      </c>
      <c r="T28" s="303">
        <v>0</v>
      </c>
      <c r="U28" s="303">
        <v>0</v>
      </c>
      <c r="V28" s="303">
        <v>0</v>
      </c>
      <c r="W28" s="303">
        <v>0</v>
      </c>
      <c r="X28" s="303">
        <v>0</v>
      </c>
      <c r="Y28" s="303">
        <v>0</v>
      </c>
      <c r="Z28" s="303">
        <v>0</v>
      </c>
    </row>
    <row r="29" spans="1:26" s="8" customFormat="1" ht="22.5" customHeight="1" thickBot="1">
      <c r="A29" s="90"/>
      <c r="B29" s="76" t="s">
        <v>64</v>
      </c>
      <c r="C29" s="91" t="s">
        <v>97</v>
      </c>
      <c r="D29" s="91"/>
      <c r="E29" s="321">
        <v>0</v>
      </c>
      <c r="F29" s="321">
        <v>0</v>
      </c>
      <c r="G29" s="321">
        <v>0</v>
      </c>
      <c r="H29" s="321">
        <v>0</v>
      </c>
      <c r="I29" s="849">
        <v>0</v>
      </c>
      <c r="J29" s="849">
        <v>0</v>
      </c>
      <c r="K29" s="767"/>
      <c r="L29" s="321">
        <v>0</v>
      </c>
      <c r="M29" s="321">
        <v>0</v>
      </c>
      <c r="N29" s="321">
        <v>0</v>
      </c>
      <c r="O29" s="321">
        <v>0</v>
      </c>
      <c r="P29" s="321">
        <v>0</v>
      </c>
      <c r="Q29" s="321">
        <v>0</v>
      </c>
      <c r="R29" s="321">
        <v>0</v>
      </c>
      <c r="S29" s="321">
        <v>0</v>
      </c>
      <c r="T29" s="321">
        <v>0</v>
      </c>
      <c r="U29" s="321">
        <v>0</v>
      </c>
      <c r="V29" s="321">
        <v>0</v>
      </c>
      <c r="W29" s="321">
        <v>0</v>
      </c>
      <c r="X29" s="321">
        <v>0</v>
      </c>
      <c r="Y29" s="321">
        <v>0</v>
      </c>
      <c r="Z29" s="321">
        <v>0</v>
      </c>
    </row>
    <row r="30" spans="1:26" s="41" customFormat="1" ht="22.5" customHeight="1" thickBot="1">
      <c r="A30" s="51" t="s">
        <v>10</v>
      </c>
      <c r="B30" s="77" t="s">
        <v>98</v>
      </c>
      <c r="C30" s="77"/>
      <c r="D30" s="77"/>
      <c r="E30" s="310">
        <v>0</v>
      </c>
      <c r="F30" s="310">
        <v>0</v>
      </c>
      <c r="G30" s="310">
        <v>0</v>
      </c>
      <c r="H30" s="310">
        <v>0</v>
      </c>
      <c r="I30" s="750">
        <v>0</v>
      </c>
      <c r="J30" s="750">
        <v>0</v>
      </c>
      <c r="K30" s="658"/>
      <c r="L30" s="310">
        <v>0</v>
      </c>
      <c r="M30" s="310">
        <v>0</v>
      </c>
      <c r="N30" s="310">
        <v>0</v>
      </c>
      <c r="O30" s="310">
        <v>0</v>
      </c>
      <c r="P30" s="310">
        <v>0</v>
      </c>
      <c r="Q30" s="310">
        <v>0</v>
      </c>
      <c r="R30" s="310">
        <v>0</v>
      </c>
      <c r="S30" s="310">
        <v>0</v>
      </c>
      <c r="T30" s="310">
        <v>0</v>
      </c>
      <c r="U30" s="310">
        <v>0</v>
      </c>
      <c r="V30" s="310">
        <v>0</v>
      </c>
      <c r="W30" s="310">
        <v>0</v>
      </c>
      <c r="X30" s="310">
        <v>0</v>
      </c>
      <c r="Y30" s="310">
        <v>0</v>
      </c>
      <c r="Z30" s="310">
        <v>0</v>
      </c>
    </row>
    <row r="31" spans="1:26" s="41" customFormat="1" ht="22.5" customHeight="1" hidden="1" thickBot="1">
      <c r="A31" s="71"/>
      <c r="B31" s="1250"/>
      <c r="C31" s="1250"/>
      <c r="D31" s="1250"/>
      <c r="E31" s="690"/>
      <c r="F31" s="690"/>
      <c r="G31" s="690"/>
      <c r="H31" s="690"/>
      <c r="I31" s="850"/>
      <c r="J31" s="850"/>
      <c r="K31" s="768"/>
      <c r="L31" s="690"/>
      <c r="M31" s="690"/>
      <c r="N31" s="690"/>
      <c r="O31" s="690"/>
      <c r="P31" s="690"/>
      <c r="Q31" s="690"/>
      <c r="R31" s="690"/>
      <c r="S31" s="690"/>
      <c r="T31" s="690"/>
      <c r="U31" s="690"/>
      <c r="V31" s="690"/>
      <c r="W31" s="690"/>
      <c r="X31" s="690"/>
      <c r="Y31" s="690"/>
      <c r="Z31" s="690"/>
    </row>
    <row r="32" spans="1:26" s="41" customFormat="1" ht="22.5" customHeight="1" thickBot="1">
      <c r="A32" s="71" t="s">
        <v>11</v>
      </c>
      <c r="B32" s="1210" t="s">
        <v>99</v>
      </c>
      <c r="C32" s="1210"/>
      <c r="D32" s="1210"/>
      <c r="E32" s="307">
        <f aca="true" t="shared" si="20" ref="E32:S32">E7+E18+E26+E30</f>
        <v>635212999</v>
      </c>
      <c r="F32" s="307">
        <f>F7+F18+F26+F30</f>
        <v>621760672</v>
      </c>
      <c r="G32" s="307">
        <f t="shared" si="20"/>
        <v>0</v>
      </c>
      <c r="H32" s="307">
        <f t="shared" si="20"/>
        <v>0</v>
      </c>
      <c r="I32" s="307">
        <f t="shared" si="20"/>
        <v>57410165</v>
      </c>
      <c r="J32" s="307">
        <f t="shared" si="20"/>
        <v>0</v>
      </c>
      <c r="K32" s="307" t="e">
        <f t="shared" si="20"/>
        <v>#DIV/0!</v>
      </c>
      <c r="L32" s="307">
        <f t="shared" si="20"/>
        <v>601336120</v>
      </c>
      <c r="M32" s="307">
        <f>M7+M18+M26+M30</f>
        <v>579924014</v>
      </c>
      <c r="N32" s="307">
        <f t="shared" si="20"/>
        <v>348848960</v>
      </c>
      <c r="O32" s="307">
        <f t="shared" si="20"/>
        <v>-36911958</v>
      </c>
      <c r="P32" s="307" t="e">
        <f t="shared" si="20"/>
        <v>#REF!</v>
      </c>
      <c r="Q32" s="307" t="e">
        <f t="shared" si="20"/>
        <v>#REF!</v>
      </c>
      <c r="R32" s="307" t="e">
        <f t="shared" si="20"/>
        <v>#DIV/0!</v>
      </c>
      <c r="S32" s="307">
        <f t="shared" si="20"/>
        <v>33876879</v>
      </c>
      <c r="T32" s="307">
        <f>T7+T18+T26+T30</f>
        <v>41836658</v>
      </c>
      <c r="U32" s="307">
        <f aca="true" t="shared" si="21" ref="U32:Z32">U7+U18+U26+U30+U36</f>
        <v>44992350</v>
      </c>
      <c r="V32" s="307">
        <f>V7+V18+V26+V30</f>
        <v>36911958</v>
      </c>
      <c r="W32" s="307">
        <f t="shared" si="21"/>
        <v>8082870</v>
      </c>
      <c r="X32" s="307">
        <f t="shared" si="21"/>
        <v>1759222</v>
      </c>
      <c r="Y32" s="307" t="e">
        <f t="shared" si="21"/>
        <v>#DIV/0!</v>
      </c>
      <c r="Z32" s="307" t="e">
        <f t="shared" si="21"/>
        <v>#DIV/0!</v>
      </c>
    </row>
    <row r="33" spans="1:26" s="41" customFormat="1" ht="22.5" customHeight="1" thickBot="1">
      <c r="A33" s="49" t="s">
        <v>12</v>
      </c>
      <c r="B33" s="1257" t="s">
        <v>100</v>
      </c>
      <c r="C33" s="1257"/>
      <c r="D33" s="1257"/>
      <c r="E33" s="312">
        <f aca="true" t="shared" si="22" ref="E33:J33">SUM(E34:E37)</f>
        <v>252537405</v>
      </c>
      <c r="F33" s="312">
        <f>SUM(F34:F37)</f>
        <v>252537405</v>
      </c>
      <c r="G33" s="312">
        <f>SUM(G34:G37)</f>
        <v>0</v>
      </c>
      <c r="H33" s="312">
        <f>SUM(H34:H37)</f>
        <v>0</v>
      </c>
      <c r="I33" s="751">
        <f t="shared" si="22"/>
        <v>0</v>
      </c>
      <c r="J33" s="751">
        <f t="shared" si="22"/>
        <v>0</v>
      </c>
      <c r="K33" s="312">
        <f aca="true" t="shared" si="23" ref="K33:R33">SUM(K34:K37)</f>
        <v>0</v>
      </c>
      <c r="L33" s="312">
        <f t="shared" si="23"/>
        <v>251098522</v>
      </c>
      <c r="M33" s="312">
        <f>SUM(M34:M37)</f>
        <v>251098522</v>
      </c>
      <c r="N33" s="312">
        <f>SUM(N34:N37)</f>
        <v>0</v>
      </c>
      <c r="O33" s="312">
        <f>SUM(O34:O37)</f>
        <v>-1438883</v>
      </c>
      <c r="P33" s="312">
        <f t="shared" si="23"/>
        <v>0</v>
      </c>
      <c r="Q33" s="312">
        <f t="shared" si="23"/>
        <v>0</v>
      </c>
      <c r="R33" s="312">
        <f t="shared" si="23"/>
        <v>0</v>
      </c>
      <c r="S33" s="312">
        <f aca="true" t="shared" si="24" ref="S33:Z33">SUM(S34:S36)</f>
        <v>1438883</v>
      </c>
      <c r="T33" s="312">
        <f>SUM(T34:T36)</f>
        <v>1438883</v>
      </c>
      <c r="U33" s="312">
        <f t="shared" si="24"/>
        <v>0</v>
      </c>
      <c r="V33" s="312">
        <f t="shared" si="24"/>
        <v>1438883</v>
      </c>
      <c r="W33" s="312">
        <f t="shared" si="24"/>
        <v>4</v>
      </c>
      <c r="X33" s="312">
        <f t="shared" si="24"/>
        <v>0</v>
      </c>
      <c r="Y33" s="312">
        <f t="shared" si="24"/>
        <v>6</v>
      </c>
      <c r="Z33" s="312">
        <f t="shared" si="24"/>
        <v>7</v>
      </c>
    </row>
    <row r="34" spans="1:26" s="5" customFormat="1" ht="22.5" customHeight="1">
      <c r="A34" s="93"/>
      <c r="B34" s="75" t="s">
        <v>44</v>
      </c>
      <c r="C34" s="1279" t="s">
        <v>267</v>
      </c>
      <c r="D34" s="1279"/>
      <c r="E34" s="308">
        <v>0</v>
      </c>
      <c r="F34" s="308">
        <v>0</v>
      </c>
      <c r="G34" s="308"/>
      <c r="H34" s="308"/>
      <c r="I34" s="748"/>
      <c r="J34" s="308"/>
      <c r="K34" s="656"/>
      <c r="L34" s="308">
        <f aca="true" t="shared" si="25" ref="L34:N37">E34</f>
        <v>0</v>
      </c>
      <c r="M34" s="308">
        <f t="shared" si="25"/>
        <v>0</v>
      </c>
      <c r="N34" s="308">
        <f t="shared" si="25"/>
        <v>0</v>
      </c>
      <c r="O34" s="308">
        <f aca="true" t="shared" si="26" ref="O34:R37">H34</f>
        <v>0</v>
      </c>
      <c r="P34" s="308">
        <f t="shared" si="26"/>
        <v>0</v>
      </c>
      <c r="Q34" s="308">
        <f t="shared" si="26"/>
        <v>0</v>
      </c>
      <c r="R34" s="308">
        <f t="shared" si="26"/>
        <v>0</v>
      </c>
      <c r="S34" s="308"/>
      <c r="T34" s="308"/>
      <c r="U34" s="308"/>
      <c r="V34" s="308"/>
      <c r="W34" s="308"/>
      <c r="X34" s="308"/>
      <c r="Y34" s="308"/>
      <c r="Z34" s="308"/>
    </row>
    <row r="35" spans="1:26" s="5" customFormat="1" ht="22.5" customHeight="1">
      <c r="A35" s="53"/>
      <c r="B35" s="62" t="s">
        <v>310</v>
      </c>
      <c r="C35" s="1256" t="s">
        <v>438</v>
      </c>
      <c r="D35" s="1256"/>
      <c r="E35" s="341"/>
      <c r="F35" s="341"/>
      <c r="G35" s="341"/>
      <c r="H35" s="341"/>
      <c r="I35" s="846"/>
      <c r="J35" s="341"/>
      <c r="K35" s="764"/>
      <c r="L35" s="341">
        <f t="shared" si="25"/>
        <v>0</v>
      </c>
      <c r="M35" s="341">
        <f t="shared" si="25"/>
        <v>0</v>
      </c>
      <c r="N35" s="341">
        <f t="shared" si="25"/>
        <v>0</v>
      </c>
      <c r="O35" s="341">
        <f t="shared" si="26"/>
        <v>0</v>
      </c>
      <c r="P35" s="341">
        <f t="shared" si="26"/>
        <v>0</v>
      </c>
      <c r="Q35" s="341">
        <f t="shared" si="26"/>
        <v>0</v>
      </c>
      <c r="R35" s="341">
        <f t="shared" si="26"/>
        <v>0</v>
      </c>
      <c r="S35" s="341"/>
      <c r="T35" s="341"/>
      <c r="U35" s="341"/>
      <c r="V35" s="341"/>
      <c r="W35" s="341"/>
      <c r="X35" s="341"/>
      <c r="Y35" s="341"/>
      <c r="Z35" s="341"/>
    </row>
    <row r="36" spans="1:26" s="5" customFormat="1" ht="37.5" customHeight="1" thickBot="1">
      <c r="A36" s="547"/>
      <c r="B36" s="548" t="s">
        <v>414</v>
      </c>
      <c r="C36" s="1280" t="s">
        <v>266</v>
      </c>
      <c r="D36" s="1281"/>
      <c r="E36" s="550">
        <v>241624759</v>
      </c>
      <c r="F36" s="550">
        <v>241624759</v>
      </c>
      <c r="G36" s="550"/>
      <c r="H36" s="550"/>
      <c r="I36" s="851"/>
      <c r="J36" s="851"/>
      <c r="K36" s="769"/>
      <c r="L36" s="550">
        <f>E36-S36</f>
        <v>240185876</v>
      </c>
      <c r="M36" s="550">
        <f>F36-T36</f>
        <v>240185876</v>
      </c>
      <c r="N36" s="550">
        <f t="shared" si="25"/>
        <v>0</v>
      </c>
      <c r="O36" s="550">
        <f>H36-V36</f>
        <v>-1438883</v>
      </c>
      <c r="P36" s="550">
        <f t="shared" si="26"/>
        <v>0</v>
      </c>
      <c r="Q36" s="550">
        <f t="shared" si="26"/>
        <v>0</v>
      </c>
      <c r="R36" s="550">
        <f t="shared" si="26"/>
        <v>0</v>
      </c>
      <c r="S36" s="550">
        <f>+'5.1 sz. m Köz Hiv'!S28</f>
        <v>1438883</v>
      </c>
      <c r="T36" s="550">
        <f>+'5.1 sz. m Köz Hiv'!T28</f>
        <v>1438883</v>
      </c>
      <c r="U36" s="550">
        <v>0</v>
      </c>
      <c r="V36" s="550">
        <f>+'5.1 sz. m Köz Hiv'!S28</f>
        <v>1438883</v>
      </c>
      <c r="W36" s="550">
        <v>4</v>
      </c>
      <c r="X36" s="550">
        <v>0</v>
      </c>
      <c r="Y36" s="550">
        <v>6</v>
      </c>
      <c r="Z36" s="550">
        <v>7</v>
      </c>
    </row>
    <row r="37" spans="1:26" s="5" customFormat="1" ht="22.5" customHeight="1" thickBot="1">
      <c r="A37" s="547"/>
      <c r="B37" s="548" t="s">
        <v>436</v>
      </c>
      <c r="C37" s="549" t="s">
        <v>413</v>
      </c>
      <c r="D37" s="549"/>
      <c r="E37" s="550">
        <v>10912646</v>
      </c>
      <c r="F37" s="550">
        <v>10912646</v>
      </c>
      <c r="G37" s="550"/>
      <c r="H37" s="550"/>
      <c r="I37" s="851"/>
      <c r="J37" s="550"/>
      <c r="K37" s="769"/>
      <c r="L37" s="550">
        <f t="shared" si="25"/>
        <v>10912646</v>
      </c>
      <c r="M37" s="550">
        <f t="shared" si="25"/>
        <v>10912646</v>
      </c>
      <c r="N37" s="550">
        <f t="shared" si="25"/>
        <v>0</v>
      </c>
      <c r="O37" s="550">
        <f t="shared" si="26"/>
        <v>0</v>
      </c>
      <c r="P37" s="550">
        <f t="shared" si="26"/>
        <v>0</v>
      </c>
      <c r="Q37" s="550">
        <f t="shared" si="26"/>
        <v>0</v>
      </c>
      <c r="R37" s="550">
        <f t="shared" si="26"/>
        <v>0</v>
      </c>
      <c r="S37" s="550"/>
      <c r="T37" s="550"/>
      <c r="U37" s="550"/>
      <c r="V37" s="550"/>
      <c r="W37" s="550"/>
      <c r="X37" s="550"/>
      <c r="Y37" s="550"/>
      <c r="Z37" s="550"/>
    </row>
    <row r="38" spans="1:26" s="5" customFormat="1" ht="22.5" customHeight="1" thickBot="1">
      <c r="A38" s="71" t="s">
        <v>437</v>
      </c>
      <c r="B38" s="1210" t="s">
        <v>225</v>
      </c>
      <c r="C38" s="1210"/>
      <c r="D38" s="1210"/>
      <c r="E38" s="309">
        <f aca="true" t="shared" si="27" ref="E38:J38">E32+E33</f>
        <v>887750404</v>
      </c>
      <c r="F38" s="309">
        <f>F32+F33</f>
        <v>874298077</v>
      </c>
      <c r="G38" s="309">
        <f>G32+G33</f>
        <v>0</v>
      </c>
      <c r="H38" s="309">
        <f>H32+H33</f>
        <v>0</v>
      </c>
      <c r="I38" s="749">
        <f t="shared" si="27"/>
        <v>57410165</v>
      </c>
      <c r="J38" s="749">
        <f t="shared" si="27"/>
        <v>0</v>
      </c>
      <c r="K38" s="657" t="e">
        <f>I38/H38</f>
        <v>#DIV/0!</v>
      </c>
      <c r="L38" s="309">
        <f aca="true" t="shared" si="28" ref="L38:S38">L32+L33</f>
        <v>852434642</v>
      </c>
      <c r="M38" s="309">
        <f>M32+M33</f>
        <v>831022536</v>
      </c>
      <c r="N38" s="309">
        <f>N32+N33</f>
        <v>348848960</v>
      </c>
      <c r="O38" s="309">
        <f t="shared" si="28"/>
        <v>-38350841</v>
      </c>
      <c r="P38" s="309" t="e">
        <f t="shared" si="28"/>
        <v>#REF!</v>
      </c>
      <c r="Q38" s="309" t="e">
        <f t="shared" si="28"/>
        <v>#REF!</v>
      </c>
      <c r="R38" s="309" t="e">
        <f t="shared" si="28"/>
        <v>#DIV/0!</v>
      </c>
      <c r="S38" s="309">
        <f t="shared" si="28"/>
        <v>35315762</v>
      </c>
      <c r="T38" s="309">
        <f>T32+T33</f>
        <v>43275541</v>
      </c>
      <c r="U38" s="309">
        <f aca="true" t="shared" si="29" ref="U38:Z38">U32+U33</f>
        <v>44992350</v>
      </c>
      <c r="V38" s="309">
        <f>V32+V33</f>
        <v>38350841</v>
      </c>
      <c r="W38" s="309">
        <f t="shared" si="29"/>
        <v>8082874</v>
      </c>
      <c r="X38" s="309">
        <f t="shared" si="29"/>
        <v>1759222</v>
      </c>
      <c r="Y38" s="309" t="e">
        <f t="shared" si="29"/>
        <v>#DIV/0!</v>
      </c>
      <c r="Z38" s="309" t="e">
        <f t="shared" si="29"/>
        <v>#DIV/0!</v>
      </c>
    </row>
    <row r="39" spans="1:26" s="5" customFormat="1" ht="19.5" customHeight="1" hidden="1" thickBot="1">
      <c r="A39" s="1218" t="s">
        <v>226</v>
      </c>
      <c r="B39" s="1219"/>
      <c r="C39" s="1219"/>
      <c r="D39" s="1219"/>
      <c r="E39" s="490"/>
      <c r="F39" s="490"/>
      <c r="G39" s="490"/>
      <c r="H39" s="490"/>
      <c r="I39" s="852"/>
      <c r="J39" s="852"/>
      <c r="K39" s="492" t="e">
        <f>I39/H39</f>
        <v>#DIV/0!</v>
      </c>
      <c r="L39" s="490"/>
      <c r="M39" s="490"/>
      <c r="N39" s="490"/>
      <c r="O39" s="490"/>
      <c r="P39" s="490"/>
      <c r="Q39" s="490"/>
      <c r="R39" s="490"/>
      <c r="S39" s="490"/>
      <c r="T39" s="490"/>
      <c r="U39" s="490"/>
      <c r="V39" s="490"/>
      <c r="W39" s="490"/>
      <c r="X39" s="490"/>
      <c r="Y39" s="490"/>
      <c r="Z39" s="490"/>
    </row>
    <row r="40" spans="1:26" s="5" customFormat="1" ht="19.5" customHeight="1" thickBot="1">
      <c r="A40" s="1209" t="s">
        <v>7</v>
      </c>
      <c r="B40" s="1210"/>
      <c r="C40" s="1210"/>
      <c r="D40" s="1210"/>
      <c r="E40" s="344">
        <f aca="true" t="shared" si="30" ref="E40:J40">SUM(E38:E39)</f>
        <v>887750404</v>
      </c>
      <c r="F40" s="344">
        <f>SUM(F38:F39)</f>
        <v>874298077</v>
      </c>
      <c r="G40" s="344">
        <f>SUM(G38:G39)</f>
        <v>0</v>
      </c>
      <c r="H40" s="344">
        <f>SUM(H38:H39)</f>
        <v>0</v>
      </c>
      <c r="I40" s="853">
        <f t="shared" si="30"/>
        <v>57410165</v>
      </c>
      <c r="J40" s="853">
        <f t="shared" si="30"/>
        <v>0</v>
      </c>
      <c r="K40" s="346" t="e">
        <f>I40/H40</f>
        <v>#DIV/0!</v>
      </c>
      <c r="L40" s="344">
        <f aca="true" t="shared" si="31" ref="L40:S40">SUM(L38:L39)</f>
        <v>852434642</v>
      </c>
      <c r="M40" s="344">
        <f>SUM(M38:M39)</f>
        <v>831022536</v>
      </c>
      <c r="N40" s="344">
        <f>SUM(N38:N39)</f>
        <v>348848960</v>
      </c>
      <c r="O40" s="344">
        <f t="shared" si="31"/>
        <v>-38350841</v>
      </c>
      <c r="P40" s="344" t="e">
        <f t="shared" si="31"/>
        <v>#REF!</v>
      </c>
      <c r="Q40" s="344" t="e">
        <f t="shared" si="31"/>
        <v>#REF!</v>
      </c>
      <c r="R40" s="344" t="e">
        <f t="shared" si="31"/>
        <v>#DIV/0!</v>
      </c>
      <c r="S40" s="344">
        <f t="shared" si="31"/>
        <v>35315762</v>
      </c>
      <c r="T40" s="344">
        <f>SUM(T38:T39)</f>
        <v>43275541</v>
      </c>
      <c r="U40" s="344">
        <f aca="true" t="shared" si="32" ref="U40:Z40">SUM(U38:U39)</f>
        <v>44992350</v>
      </c>
      <c r="V40" s="344">
        <f t="shared" si="32"/>
        <v>38350841</v>
      </c>
      <c r="W40" s="344">
        <f t="shared" si="32"/>
        <v>8082874</v>
      </c>
      <c r="X40" s="344">
        <f t="shared" si="32"/>
        <v>1759222</v>
      </c>
      <c r="Y40" s="344" t="e">
        <f t="shared" si="32"/>
        <v>#DIV/0!</v>
      </c>
      <c r="Z40" s="344" t="e">
        <f t="shared" si="32"/>
        <v>#DIV/0!</v>
      </c>
    </row>
    <row r="41" spans="1:26" s="5" customFormat="1" ht="19.5" customHeight="1">
      <c r="A41" s="392"/>
      <c r="B41" s="497"/>
      <c r="C41" s="392"/>
      <c r="D41" s="392"/>
      <c r="E41" s="498"/>
      <c r="F41" s="498"/>
      <c r="G41" s="498"/>
      <c r="H41" s="498"/>
      <c r="I41" s="498"/>
      <c r="J41" s="498"/>
      <c r="K41" s="498"/>
      <c r="L41" s="499"/>
      <c r="M41" s="499"/>
      <c r="N41" s="499"/>
      <c r="O41" s="499"/>
      <c r="P41" s="499"/>
      <c r="Q41" s="499"/>
      <c r="R41" s="499"/>
      <c r="S41" s="499"/>
      <c r="T41" s="499"/>
      <c r="U41" s="499"/>
      <c r="V41" s="499"/>
      <c r="W41" s="499"/>
      <c r="X41" s="499"/>
      <c r="Y41" s="499"/>
      <c r="Z41" s="499"/>
    </row>
    <row r="42" spans="1:26" s="5" customFormat="1" ht="19.5" customHeight="1">
      <c r="A42" s="33"/>
      <c r="B42" s="36"/>
      <c r="C42" s="36"/>
      <c r="D42" s="17"/>
      <c r="E42" s="6"/>
      <c r="F42" s="6"/>
      <c r="G42" s="6"/>
      <c r="H42" s="6"/>
      <c r="I42" s="6"/>
      <c r="J42" s="6"/>
      <c r="K42" s="6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</row>
    <row r="43" spans="1:22" ht="15.75">
      <c r="A43" s="80"/>
      <c r="B43" s="32"/>
      <c r="C43" s="32"/>
      <c r="D43" s="17"/>
      <c r="E43" s="877"/>
      <c r="F43" s="877"/>
      <c r="G43" s="877"/>
      <c r="H43" s="877"/>
      <c r="I43" s="877"/>
      <c r="J43" s="877"/>
      <c r="K43" s="4"/>
      <c r="V43" s="43"/>
    </row>
    <row r="44" spans="1:11" ht="15.75">
      <c r="A44" s="80"/>
      <c r="B44" s="32"/>
      <c r="C44" s="32"/>
      <c r="D44" s="17"/>
      <c r="E44" s="876" t="str">
        <f>IF(L40+S40=E40," ","HIBA-nincs egyenlőség")</f>
        <v> </v>
      </c>
      <c r="F44" s="876" t="str">
        <f>IF(M40+T40=F40," ","HIBA-nincs egyenlőség")</f>
        <v> </v>
      </c>
      <c r="G44" s="876"/>
      <c r="H44" s="876"/>
      <c r="I44" s="876"/>
      <c r="J44" s="876"/>
      <c r="K44" s="876"/>
    </row>
    <row r="45" spans="1:20" ht="15.75">
      <c r="A45" s="80"/>
      <c r="B45" s="1"/>
      <c r="C45" s="1"/>
      <c r="D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 s="80"/>
      <c r="B46" s="1"/>
      <c r="C46" s="1"/>
      <c r="D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>
      <c r="A47" s="80"/>
      <c r="B47" s="1"/>
      <c r="C47" s="1"/>
      <c r="D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>
      <c r="A48" s="80"/>
      <c r="B48" s="1"/>
      <c r="C48" s="1"/>
      <c r="D48" s="1"/>
      <c r="G48" s="43"/>
      <c r="L48" s="1"/>
      <c r="M48" s="1"/>
      <c r="N48" s="1"/>
      <c r="O48" s="1"/>
      <c r="P48" s="1"/>
      <c r="Q48" s="1"/>
      <c r="R48" s="1"/>
      <c r="S48" s="1"/>
      <c r="T48" s="1"/>
    </row>
    <row r="49" spans="1:20" ht="15.75">
      <c r="A49" s="80"/>
      <c r="B49" s="1"/>
      <c r="C49" s="1"/>
      <c r="D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>
      <c r="A50" s="80"/>
      <c r="B50" s="1"/>
      <c r="C50" s="1"/>
      <c r="D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.75">
      <c r="A51" s="80"/>
      <c r="B51" s="1"/>
      <c r="C51" s="1"/>
      <c r="D51" s="1"/>
      <c r="L51" s="1"/>
      <c r="M51" s="1"/>
      <c r="N51" s="1"/>
      <c r="O51" s="1"/>
      <c r="P51" s="1"/>
      <c r="Q51" s="1"/>
      <c r="R51" s="1"/>
      <c r="S51" s="1"/>
      <c r="T51" s="1"/>
    </row>
    <row r="52" spans="1:11" ht="15.75">
      <c r="A52" s="80"/>
      <c r="B52" s="32"/>
      <c r="C52" s="32"/>
      <c r="D52" s="17"/>
      <c r="E52" s="3"/>
      <c r="F52" s="3"/>
      <c r="G52" s="3"/>
      <c r="H52" s="3"/>
      <c r="I52" s="3"/>
      <c r="J52" s="3"/>
      <c r="K52" s="3"/>
    </row>
    <row r="53" spans="1:11" ht="15.75">
      <c r="A53" s="80"/>
      <c r="B53" s="32"/>
      <c r="C53" s="32"/>
      <c r="D53" s="17"/>
      <c r="E53" s="3"/>
      <c r="F53" s="3"/>
      <c r="G53" s="3"/>
      <c r="H53" s="3"/>
      <c r="I53" s="3"/>
      <c r="J53" s="3"/>
      <c r="K53" s="3"/>
    </row>
    <row r="54" spans="1:11" ht="15.75">
      <c r="A54" s="80"/>
      <c r="B54" s="32"/>
      <c r="C54" s="32"/>
      <c r="D54" s="17"/>
      <c r="E54" s="3"/>
      <c r="F54" s="3"/>
      <c r="G54" s="3"/>
      <c r="H54" s="3"/>
      <c r="I54" s="3"/>
      <c r="J54" s="3"/>
      <c r="K54" s="3"/>
    </row>
    <row r="55" spans="1:11" ht="15.75">
      <c r="A55" s="80"/>
      <c r="B55" s="32"/>
      <c r="C55" s="32"/>
      <c r="D55" s="17"/>
      <c r="E55" s="3"/>
      <c r="F55" s="3"/>
      <c r="G55" s="3"/>
      <c r="H55" s="3"/>
      <c r="I55" s="3"/>
      <c r="J55" s="3"/>
      <c r="K55" s="3"/>
    </row>
    <row r="56" spans="1:11" ht="15.75">
      <c r="A56" s="80"/>
      <c r="B56" s="32"/>
      <c r="C56" s="32"/>
      <c r="D56" s="17"/>
      <c r="E56" s="3"/>
      <c r="F56" s="3"/>
      <c r="G56" s="3"/>
      <c r="H56" s="3"/>
      <c r="I56" s="3"/>
      <c r="J56" s="3"/>
      <c r="K56" s="3"/>
    </row>
    <row r="57" spans="1:11" ht="15.75">
      <c r="A57" s="80"/>
      <c r="B57" s="32"/>
      <c r="C57" s="32"/>
      <c r="D57" s="17"/>
      <c r="E57" s="3"/>
      <c r="F57" s="3"/>
      <c r="G57" s="3"/>
      <c r="H57" s="3"/>
      <c r="I57" s="3"/>
      <c r="J57" s="3"/>
      <c r="K57" s="3"/>
    </row>
    <row r="58" spans="1:11" ht="15.75">
      <c r="A58" s="80"/>
      <c r="B58" s="32"/>
      <c r="C58" s="32"/>
      <c r="D58" s="17"/>
      <c r="E58" s="3"/>
      <c r="F58" s="3"/>
      <c r="G58" s="3"/>
      <c r="H58" s="3"/>
      <c r="I58" s="3"/>
      <c r="J58" s="3"/>
      <c r="K58" s="3"/>
    </row>
    <row r="59" spans="1:11" ht="15.75">
      <c r="A59" s="80"/>
      <c r="B59" s="32"/>
      <c r="C59" s="32"/>
      <c r="D59" s="17"/>
      <c r="E59" s="3"/>
      <c r="F59" s="3"/>
      <c r="G59" s="3"/>
      <c r="H59" s="3"/>
      <c r="I59" s="3"/>
      <c r="J59" s="3"/>
      <c r="K59" s="3"/>
    </row>
    <row r="60" spans="1:11" ht="15.75">
      <c r="A60" s="80"/>
      <c r="B60" s="32"/>
      <c r="C60" s="32"/>
      <c r="D60" s="17"/>
      <c r="E60" s="3"/>
      <c r="F60" s="3"/>
      <c r="G60" s="3"/>
      <c r="H60" s="3"/>
      <c r="I60" s="3"/>
      <c r="J60" s="3"/>
      <c r="K60" s="3"/>
    </row>
    <row r="61" spans="1:11" ht="15.75">
      <c r="A61" s="80"/>
      <c r="B61" s="32"/>
      <c r="C61" s="32"/>
      <c r="D61" s="17"/>
      <c r="E61" s="3"/>
      <c r="F61" s="3"/>
      <c r="G61" s="3"/>
      <c r="H61" s="3"/>
      <c r="I61" s="3"/>
      <c r="J61" s="3"/>
      <c r="K61" s="3"/>
    </row>
  </sheetData>
  <sheetProtection/>
  <mergeCells count="21">
    <mergeCell ref="C35:D35"/>
    <mergeCell ref="A5:D5"/>
    <mergeCell ref="A40:D40"/>
    <mergeCell ref="B31:D31"/>
    <mergeCell ref="A39:D39"/>
    <mergeCell ref="C34:D34"/>
    <mergeCell ref="C21:D21"/>
    <mergeCell ref="C19:D19"/>
    <mergeCell ref="C28:D28"/>
    <mergeCell ref="B38:D38"/>
    <mergeCell ref="C36:D36"/>
    <mergeCell ref="B18:D18"/>
    <mergeCell ref="E1:W1"/>
    <mergeCell ref="A3:S3"/>
    <mergeCell ref="B32:D32"/>
    <mergeCell ref="B33:D33"/>
    <mergeCell ref="B7:D7"/>
    <mergeCell ref="S5:Y5"/>
    <mergeCell ref="C27:D27"/>
    <mergeCell ref="B26:D26"/>
    <mergeCell ref="C20:D2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4"/>
  <sheetViews>
    <sheetView zoomScale="110" zoomScaleNormal="110" zoomScalePageLayoutView="0" workbookViewId="0" topLeftCell="A1">
      <selection activeCell="A4" sqref="A4:U4"/>
    </sheetView>
  </sheetViews>
  <sheetFormatPr defaultColWidth="9.140625" defaultRowHeight="12.75"/>
  <cols>
    <col min="1" max="1" width="4.28125" style="177" customWidth="1"/>
    <col min="2" max="2" width="4.7109375" style="110" customWidth="1"/>
    <col min="3" max="3" width="45.421875" style="110" customWidth="1"/>
    <col min="4" max="4" width="11.140625" style="110" customWidth="1"/>
    <col min="5" max="5" width="10.57421875" style="110" customWidth="1"/>
    <col min="6" max="6" width="10.421875" style="110" hidden="1" customWidth="1"/>
    <col min="7" max="7" width="11.7109375" style="110" hidden="1" customWidth="1"/>
    <col min="8" max="8" width="12.421875" style="110" hidden="1" customWidth="1"/>
    <col min="9" max="9" width="10.140625" style="110" hidden="1" customWidth="1"/>
    <col min="10" max="10" width="9.8515625" style="110" hidden="1" customWidth="1"/>
    <col min="11" max="11" width="8.28125" style="110" hidden="1" customWidth="1"/>
    <col min="12" max="12" width="12.8515625" style="110" customWidth="1"/>
    <col min="13" max="13" width="11.00390625" style="110" customWidth="1"/>
    <col min="14" max="14" width="12.57421875" style="110" hidden="1" customWidth="1"/>
    <col min="15" max="15" width="10.140625" style="110" hidden="1" customWidth="1"/>
    <col min="16" max="17" width="10.28125" style="110" hidden="1" customWidth="1"/>
    <col min="18" max="18" width="9.8515625" style="110" hidden="1" customWidth="1"/>
    <col min="19" max="20" width="9.8515625" style="110" customWidth="1"/>
    <col min="21" max="21" width="13.140625" style="110" customWidth="1"/>
    <col min="22" max="22" width="9.140625" style="110" customWidth="1"/>
    <col min="23" max="23" width="9.421875" style="110" hidden="1" customWidth="1"/>
    <col min="24" max="24" width="10.00390625" style="110" hidden="1" customWidth="1"/>
    <col min="25" max="25" width="10.8515625" style="110" hidden="1" customWidth="1"/>
    <col min="26" max="26" width="10.00390625" style="110" hidden="1" customWidth="1"/>
    <col min="27" max="29" width="9.140625" style="110" hidden="1" customWidth="1"/>
    <col min="30" max="30" width="11.421875" style="110" bestFit="1" customWidth="1"/>
    <col min="31" max="31" width="12.421875" style="110" bestFit="1" customWidth="1"/>
    <col min="32" max="32" width="11.421875" style="110" bestFit="1" customWidth="1"/>
    <col min="33" max="16384" width="9.140625" style="110" customWidth="1"/>
  </cols>
  <sheetData>
    <row r="1" spans="1:25" s="102" customFormat="1" ht="21" customHeight="1">
      <c r="A1" s="98"/>
      <c r="B1" s="99"/>
      <c r="C1" s="1282" t="s">
        <v>550</v>
      </c>
      <c r="D1" s="1282"/>
      <c r="E1" s="1282"/>
      <c r="F1" s="1282"/>
      <c r="G1" s="1282"/>
      <c r="H1" s="1282"/>
      <c r="I1" s="1282"/>
      <c r="J1" s="1282"/>
      <c r="K1" s="1282"/>
      <c r="L1" s="1282"/>
      <c r="M1" s="1282"/>
      <c r="N1" s="1282"/>
      <c r="O1" s="1282"/>
      <c r="P1" s="1282"/>
      <c r="Q1" s="1282"/>
      <c r="R1" s="1282"/>
      <c r="S1" s="1282"/>
      <c r="T1" s="1282"/>
      <c r="U1" s="1282"/>
      <c r="V1" s="1282"/>
      <c r="W1" s="1282"/>
      <c r="X1" s="1282"/>
      <c r="Y1" s="1282"/>
    </row>
    <row r="2" spans="1:25" s="102" customFormat="1" ht="21" customHeight="1">
      <c r="A2" s="98"/>
      <c r="B2" s="99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  <c r="O2" s="1186"/>
      <c r="P2" s="1186"/>
      <c r="Q2" s="1186"/>
      <c r="R2" s="1186"/>
      <c r="S2" s="1186"/>
      <c r="T2" s="1186"/>
      <c r="U2" s="1186"/>
      <c r="V2" s="1427" t="s">
        <v>634</v>
      </c>
      <c r="W2" s="1186"/>
      <c r="X2" s="1186"/>
      <c r="Y2" s="1186"/>
    </row>
    <row r="3" spans="1:11" s="102" customFormat="1" ht="21" customHeight="1">
      <c r="A3" s="213"/>
      <c r="B3" s="99"/>
      <c r="C3" s="104"/>
      <c r="D3" s="103"/>
      <c r="E3" s="103"/>
      <c r="F3" s="103"/>
      <c r="G3" s="103"/>
      <c r="H3" s="103"/>
      <c r="I3" s="103"/>
      <c r="J3" s="103"/>
      <c r="K3" s="103"/>
    </row>
    <row r="4" spans="1:21" s="105" customFormat="1" ht="25.5" customHeight="1">
      <c r="A4" s="1285" t="s">
        <v>211</v>
      </c>
      <c r="B4" s="1285"/>
      <c r="C4" s="1285"/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</row>
    <row r="5" spans="1:21" s="108" customFormat="1" ht="15.75" customHeight="1" thickBot="1">
      <c r="A5" s="106"/>
      <c r="B5" s="106"/>
      <c r="C5" s="106"/>
      <c r="U5" s="107" t="s">
        <v>427</v>
      </c>
    </row>
    <row r="6" spans="1:28" ht="36.75" customHeight="1" thickBot="1">
      <c r="A6" s="1283" t="s">
        <v>103</v>
      </c>
      <c r="B6" s="1284"/>
      <c r="C6" s="109" t="s">
        <v>104</v>
      </c>
      <c r="D6" s="1287" t="s">
        <v>4</v>
      </c>
      <c r="E6" s="1288"/>
      <c r="F6" s="1288"/>
      <c r="G6" s="1288"/>
      <c r="H6" s="1288"/>
      <c r="I6" s="1288"/>
      <c r="J6" s="1288"/>
      <c r="K6" s="1288"/>
      <c r="L6" s="1289" t="s">
        <v>102</v>
      </c>
      <c r="M6" s="1290"/>
      <c r="N6" s="1290"/>
      <c r="O6" s="1290"/>
      <c r="P6" s="1290"/>
      <c r="Q6" s="1287"/>
      <c r="R6" s="1287"/>
      <c r="S6" s="1160" t="s">
        <v>350</v>
      </c>
      <c r="T6" s="1161"/>
      <c r="U6" s="1284" t="s">
        <v>149</v>
      </c>
      <c r="V6" s="1290"/>
      <c r="W6" s="1290"/>
      <c r="X6" s="1290"/>
      <c r="Y6" s="1290"/>
      <c r="Z6" s="1290"/>
      <c r="AA6" s="1290"/>
      <c r="AB6" s="1291"/>
    </row>
    <row r="7" spans="1:29" ht="13.5" thickBot="1">
      <c r="A7" s="264"/>
      <c r="B7" s="265"/>
      <c r="C7" s="109"/>
      <c r="D7" s="109" t="s">
        <v>217</v>
      </c>
      <c r="E7" s="109" t="s">
        <v>215</v>
      </c>
      <c r="F7" s="109" t="s">
        <v>218</v>
      </c>
      <c r="G7" s="109" t="s">
        <v>220</v>
      </c>
      <c r="H7" s="109" t="s">
        <v>232</v>
      </c>
      <c r="I7" s="109" t="s">
        <v>237</v>
      </c>
      <c r="J7" s="109" t="s">
        <v>333</v>
      </c>
      <c r="K7" s="394" t="s">
        <v>237</v>
      </c>
      <c r="L7" s="423" t="s">
        <v>217</v>
      </c>
      <c r="M7" s="109" t="s">
        <v>215</v>
      </c>
      <c r="N7" s="109" t="s">
        <v>218</v>
      </c>
      <c r="O7" s="109" t="s">
        <v>220</v>
      </c>
      <c r="P7" s="109" t="s">
        <v>232</v>
      </c>
      <c r="Q7" s="109" t="s">
        <v>237</v>
      </c>
      <c r="R7" s="433" t="s">
        <v>333</v>
      </c>
      <c r="S7" s="109"/>
      <c r="T7" s="393"/>
      <c r="U7" s="393" t="s">
        <v>217</v>
      </c>
      <c r="V7" s="109" t="s">
        <v>215</v>
      </c>
      <c r="W7" s="109" t="s">
        <v>218</v>
      </c>
      <c r="X7" s="109" t="s">
        <v>220</v>
      </c>
      <c r="Y7" s="109" t="s">
        <v>232</v>
      </c>
      <c r="Z7" s="109" t="s">
        <v>237</v>
      </c>
      <c r="AA7" s="109" t="s">
        <v>333</v>
      </c>
      <c r="AB7" s="394" t="s">
        <v>224</v>
      </c>
      <c r="AC7" s="109" t="s">
        <v>237</v>
      </c>
    </row>
    <row r="8" spans="1:29" s="114" customFormat="1" ht="12.75" customHeight="1" thickBot="1">
      <c r="A8" s="111">
        <v>1</v>
      </c>
      <c r="B8" s="112">
        <v>2</v>
      </c>
      <c r="C8" s="112">
        <v>3</v>
      </c>
      <c r="D8" s="112">
        <v>4</v>
      </c>
      <c r="E8" s="112">
        <v>5</v>
      </c>
      <c r="F8" s="112">
        <v>6</v>
      </c>
      <c r="G8" s="112">
        <v>7</v>
      </c>
      <c r="H8" s="112">
        <v>8</v>
      </c>
      <c r="I8" s="112">
        <v>5</v>
      </c>
      <c r="J8" s="112">
        <v>9</v>
      </c>
      <c r="K8" s="113"/>
      <c r="L8" s="111">
        <v>6</v>
      </c>
      <c r="M8" s="112">
        <v>7</v>
      </c>
      <c r="N8" s="112">
        <v>10</v>
      </c>
      <c r="O8" s="112">
        <v>11</v>
      </c>
      <c r="P8" s="112">
        <v>13</v>
      </c>
      <c r="Q8" s="257">
        <v>7</v>
      </c>
      <c r="R8" s="257">
        <v>15</v>
      </c>
      <c r="S8" s="112">
        <v>8</v>
      </c>
      <c r="T8" s="983">
        <v>9</v>
      </c>
      <c r="U8" s="983">
        <v>10</v>
      </c>
      <c r="V8" s="112">
        <v>11</v>
      </c>
      <c r="W8" s="112">
        <v>15</v>
      </c>
      <c r="X8" s="112">
        <v>16</v>
      </c>
      <c r="Y8" s="112">
        <v>18</v>
      </c>
      <c r="Z8" s="112">
        <v>9</v>
      </c>
      <c r="AA8" s="112">
        <v>21</v>
      </c>
      <c r="AB8" s="113"/>
      <c r="AC8" s="112"/>
    </row>
    <row r="9" spans="1:29" s="114" customFormat="1" ht="15.75" customHeight="1" thickBot="1">
      <c r="A9" s="115"/>
      <c r="B9" s="116"/>
      <c r="C9" s="116" t="s">
        <v>105</v>
      </c>
      <c r="D9" s="242"/>
      <c r="E9" s="242"/>
      <c r="F9" s="179"/>
      <c r="G9" s="179"/>
      <c r="H9" s="179"/>
      <c r="I9" s="179"/>
      <c r="J9" s="179"/>
      <c r="K9" s="243"/>
      <c r="L9" s="400"/>
      <c r="M9" s="242"/>
      <c r="N9" s="179"/>
      <c r="O9" s="179"/>
      <c r="P9" s="179"/>
      <c r="Q9" s="258"/>
      <c r="R9" s="258"/>
      <c r="S9" s="179"/>
      <c r="T9" s="242"/>
      <c r="U9" s="242"/>
      <c r="V9" s="400"/>
      <c r="W9" s="179"/>
      <c r="X9" s="179"/>
      <c r="Y9" s="179"/>
      <c r="Z9" s="179"/>
      <c r="AA9" s="179"/>
      <c r="AB9" s="243"/>
      <c r="AC9" s="179"/>
    </row>
    <row r="10" spans="1:29" s="120" customFormat="1" ht="12" customHeight="1" thickBot="1">
      <c r="A10" s="111" t="s">
        <v>26</v>
      </c>
      <c r="B10" s="117"/>
      <c r="C10" s="118" t="s">
        <v>322</v>
      </c>
      <c r="D10" s="180">
        <f>SUM(D11:D14)</f>
        <v>50100</v>
      </c>
      <c r="E10" s="180">
        <f>SUM(E11:E14)</f>
        <v>50100</v>
      </c>
      <c r="F10" s="180">
        <f>+F13+F14</f>
        <v>0</v>
      </c>
      <c r="G10" s="180">
        <f>+G13+G14</f>
        <v>0</v>
      </c>
      <c r="H10" s="180"/>
      <c r="I10" s="180">
        <f aca="true" t="shared" si="0" ref="I10:P10">SUM(I11:I14)</f>
        <v>0</v>
      </c>
      <c r="J10" s="180">
        <f t="shared" si="0"/>
        <v>0</v>
      </c>
      <c r="K10" s="180">
        <f t="shared" si="0"/>
        <v>0</v>
      </c>
      <c r="L10" s="180">
        <f t="shared" si="0"/>
        <v>50100</v>
      </c>
      <c r="M10" s="180">
        <f>SUM(M11:M14)</f>
        <v>50100</v>
      </c>
      <c r="N10" s="180">
        <f>+N13+N14</f>
        <v>0</v>
      </c>
      <c r="O10" s="180">
        <f>+O13+O14</f>
        <v>0</v>
      </c>
      <c r="P10" s="180">
        <f t="shared" si="0"/>
        <v>0</v>
      </c>
      <c r="Q10" s="180">
        <f>SUM(Q11:Q14)</f>
        <v>0</v>
      </c>
      <c r="R10" s="1054"/>
      <c r="S10" s="180"/>
      <c r="T10" s="238"/>
      <c r="U10" s="238"/>
      <c r="V10" s="401"/>
      <c r="W10" s="180"/>
      <c r="X10" s="180"/>
      <c r="Y10" s="180"/>
      <c r="Z10" s="180"/>
      <c r="AA10" s="180"/>
      <c r="AB10" s="119"/>
      <c r="AC10" s="180"/>
    </row>
    <row r="11" spans="1:29" s="120" customFormat="1" ht="12" customHeight="1">
      <c r="A11" s="121"/>
      <c r="B11" s="132" t="s">
        <v>34</v>
      </c>
      <c r="C11" s="807" t="s">
        <v>442</v>
      </c>
      <c r="D11" s="808"/>
      <c r="E11" s="420">
        <v>3000</v>
      </c>
      <c r="F11" s="808"/>
      <c r="G11" s="808"/>
      <c r="H11" s="809"/>
      <c r="I11" s="809"/>
      <c r="J11" s="810"/>
      <c r="K11" s="811"/>
      <c r="L11" s="812"/>
      <c r="M11" s="420">
        <v>3000</v>
      </c>
      <c r="N11" s="808"/>
      <c r="O11" s="808"/>
      <c r="P11" s="809"/>
      <c r="Q11" s="809"/>
      <c r="R11" s="1055"/>
      <c r="S11" s="808"/>
      <c r="T11" s="826"/>
      <c r="U11" s="826"/>
      <c r="V11" s="812"/>
      <c r="W11" s="808"/>
      <c r="X11" s="808"/>
      <c r="Y11" s="808"/>
      <c r="Z11" s="808"/>
      <c r="AA11" s="804"/>
      <c r="AB11" s="805"/>
      <c r="AC11" s="804"/>
    </row>
    <row r="12" spans="1:29" s="120" customFormat="1" ht="12" customHeight="1">
      <c r="A12" s="860"/>
      <c r="B12" s="122" t="s">
        <v>35</v>
      </c>
      <c r="C12" s="861" t="s">
        <v>461</v>
      </c>
      <c r="D12" s="862"/>
      <c r="E12" s="862"/>
      <c r="F12" s="862"/>
      <c r="G12" s="862"/>
      <c r="H12" s="863"/>
      <c r="I12" s="863"/>
      <c r="J12" s="906"/>
      <c r="K12" s="907"/>
      <c r="L12" s="908"/>
      <c r="M12" s="862"/>
      <c r="N12" s="862"/>
      <c r="O12" s="862"/>
      <c r="P12" s="863"/>
      <c r="Q12" s="863"/>
      <c r="R12" s="1056"/>
      <c r="S12" s="862"/>
      <c r="T12" s="1066"/>
      <c r="U12" s="1066"/>
      <c r="V12" s="864"/>
      <c r="W12" s="862"/>
      <c r="X12" s="862"/>
      <c r="Y12" s="862"/>
      <c r="Z12" s="862"/>
      <c r="AA12" s="804"/>
      <c r="AB12" s="805"/>
      <c r="AC12" s="804"/>
    </row>
    <row r="13" spans="1:29" s="120" customFormat="1" ht="12" customHeight="1">
      <c r="A13" s="123"/>
      <c r="B13" s="122" t="s">
        <v>36</v>
      </c>
      <c r="C13" s="813" t="s">
        <v>296</v>
      </c>
      <c r="D13" s="815">
        <v>100</v>
      </c>
      <c r="E13" s="815">
        <v>100</v>
      </c>
      <c r="F13" s="815"/>
      <c r="G13" s="815"/>
      <c r="H13" s="815"/>
      <c r="I13" s="815"/>
      <c r="J13" s="446"/>
      <c r="K13" s="909"/>
      <c r="L13" s="419">
        <f>+D13-S13</f>
        <v>100</v>
      </c>
      <c r="M13" s="815">
        <v>100</v>
      </c>
      <c r="N13" s="815"/>
      <c r="O13" s="815"/>
      <c r="P13" s="815"/>
      <c r="Q13" s="815"/>
      <c r="R13" s="1057"/>
      <c r="S13" s="815"/>
      <c r="T13" s="1159"/>
      <c r="U13" s="827"/>
      <c r="V13" s="818"/>
      <c r="W13" s="814"/>
      <c r="X13" s="814"/>
      <c r="Y13" s="814"/>
      <c r="Z13" s="814"/>
      <c r="AA13" s="804"/>
      <c r="AB13" s="805"/>
      <c r="AC13" s="804"/>
    </row>
    <row r="14" spans="1:29" s="120" customFormat="1" ht="12" customHeight="1" thickBot="1">
      <c r="A14" s="819"/>
      <c r="B14" s="122" t="s">
        <v>47</v>
      </c>
      <c r="C14" s="820" t="s">
        <v>443</v>
      </c>
      <c r="D14" s="822">
        <v>50000</v>
      </c>
      <c r="E14" s="822">
        <v>47000</v>
      </c>
      <c r="F14" s="822"/>
      <c r="G14" s="822"/>
      <c r="H14" s="822"/>
      <c r="I14" s="822"/>
      <c r="J14" s="823"/>
      <c r="K14" s="824"/>
      <c r="L14" s="419">
        <f>+D14-S14</f>
        <v>50000</v>
      </c>
      <c r="M14" s="822">
        <v>47000</v>
      </c>
      <c r="N14" s="822"/>
      <c r="O14" s="822"/>
      <c r="P14" s="822"/>
      <c r="Q14" s="822"/>
      <c r="R14" s="1058"/>
      <c r="S14" s="822"/>
      <c r="T14" s="911"/>
      <c r="U14" s="833"/>
      <c r="V14" s="825"/>
      <c r="W14" s="821"/>
      <c r="X14" s="821"/>
      <c r="Y14" s="821"/>
      <c r="Z14" s="821"/>
      <c r="AA14" s="804"/>
      <c r="AB14" s="805"/>
      <c r="AC14" s="804"/>
    </row>
    <row r="15" spans="1:29" s="126" customFormat="1" ht="12" customHeight="1" hidden="1" thickBot="1">
      <c r="A15" s="127" t="s">
        <v>27</v>
      </c>
      <c r="B15" s="122"/>
      <c r="C15" s="806" t="s">
        <v>111</v>
      </c>
      <c r="D15" s="190"/>
      <c r="E15" s="190"/>
      <c r="F15" s="190"/>
      <c r="G15" s="190"/>
      <c r="H15" s="190"/>
      <c r="I15" s="190"/>
      <c r="J15" s="662" t="e">
        <f>H15/F15</f>
        <v>#DIV/0!</v>
      </c>
      <c r="K15" s="244"/>
      <c r="L15" s="402"/>
      <c r="M15" s="402"/>
      <c r="N15" s="190"/>
      <c r="O15" s="190"/>
      <c r="P15" s="190"/>
      <c r="Q15" s="190"/>
      <c r="R15" s="1059" t="e">
        <f>P15/N15</f>
        <v>#DIV/0!</v>
      </c>
      <c r="S15" s="190"/>
      <c r="T15" s="1067"/>
      <c r="U15" s="1067"/>
      <c r="V15" s="402"/>
      <c r="W15" s="190"/>
      <c r="X15" s="190"/>
      <c r="Y15" s="190"/>
      <c r="Z15" s="190"/>
      <c r="AA15" s="190"/>
      <c r="AB15" s="244"/>
      <c r="AC15" s="190"/>
    </row>
    <row r="16" spans="1:29" s="120" customFormat="1" ht="12" customHeight="1" thickBot="1">
      <c r="A16" s="111" t="s">
        <v>27</v>
      </c>
      <c r="B16" s="117"/>
      <c r="C16" s="118" t="s">
        <v>112</v>
      </c>
      <c r="D16" s="180">
        <f aca="true" t="shared" si="1" ref="D16:I16">SUM(D17:D20)</f>
        <v>0</v>
      </c>
      <c r="E16" s="180">
        <f>SUM(E17:E20)</f>
        <v>0</v>
      </c>
      <c r="F16" s="180">
        <f>SUM(F17:F20)</f>
        <v>0</v>
      </c>
      <c r="G16" s="180">
        <f>SUM(G17:G20)</f>
        <v>0</v>
      </c>
      <c r="H16" s="180">
        <f t="shared" si="1"/>
        <v>0</v>
      </c>
      <c r="I16" s="180">
        <f t="shared" si="1"/>
        <v>0</v>
      </c>
      <c r="J16" s="331"/>
      <c r="K16" s="119">
        <f aca="true" t="shared" si="2" ref="K16:Q16">SUM(K17:K20)</f>
        <v>0</v>
      </c>
      <c r="L16" s="180">
        <f t="shared" si="2"/>
        <v>0</v>
      </c>
      <c r="M16" s="180">
        <f>SUM(M17:M20)</f>
        <v>0</v>
      </c>
      <c r="N16" s="180">
        <f t="shared" si="2"/>
        <v>0</v>
      </c>
      <c r="O16" s="180">
        <f>SUM(O17:O20)</f>
        <v>0</v>
      </c>
      <c r="P16" s="180">
        <f t="shared" si="2"/>
        <v>0</v>
      </c>
      <c r="Q16" s="180">
        <f t="shared" si="2"/>
        <v>0</v>
      </c>
      <c r="R16" s="1054"/>
      <c r="S16" s="180"/>
      <c r="T16" s="238"/>
      <c r="U16" s="238"/>
      <c r="V16" s="401"/>
      <c r="W16" s="180"/>
      <c r="X16" s="180"/>
      <c r="Y16" s="180"/>
      <c r="Z16" s="180"/>
      <c r="AA16" s="180"/>
      <c r="AB16" s="119"/>
      <c r="AC16" s="180"/>
    </row>
    <row r="17" spans="1:29" s="126" customFormat="1" ht="12" customHeight="1">
      <c r="A17" s="123"/>
      <c r="B17" s="122" t="s">
        <v>37</v>
      </c>
      <c r="C17" s="128" t="s">
        <v>69</v>
      </c>
      <c r="D17" s="181"/>
      <c r="E17" s="181"/>
      <c r="F17" s="181"/>
      <c r="G17" s="181"/>
      <c r="H17" s="181"/>
      <c r="I17" s="181"/>
      <c r="J17" s="663"/>
      <c r="K17" s="125"/>
      <c r="L17" s="181"/>
      <c r="M17" s="181"/>
      <c r="N17" s="181"/>
      <c r="O17" s="181"/>
      <c r="P17" s="181"/>
      <c r="Q17" s="181"/>
      <c r="R17" s="1060"/>
      <c r="S17" s="181"/>
      <c r="T17" s="697"/>
      <c r="U17" s="697"/>
      <c r="V17" s="403"/>
      <c r="W17" s="181"/>
      <c r="X17" s="181"/>
      <c r="Y17" s="181"/>
      <c r="Z17" s="181"/>
      <c r="AA17" s="181"/>
      <c r="AB17" s="125"/>
      <c r="AC17" s="181"/>
    </row>
    <row r="18" spans="1:29" s="126" customFormat="1" ht="12" customHeight="1">
      <c r="A18" s="123"/>
      <c r="B18" s="122" t="s">
        <v>38</v>
      </c>
      <c r="C18" s="124" t="s">
        <v>115</v>
      </c>
      <c r="D18" s="181"/>
      <c r="E18" s="181"/>
      <c r="F18" s="181"/>
      <c r="G18" s="181"/>
      <c r="H18" s="181"/>
      <c r="I18" s="181"/>
      <c r="J18" s="663"/>
      <c r="K18" s="125"/>
      <c r="L18" s="181"/>
      <c r="M18" s="181"/>
      <c r="N18" s="181"/>
      <c r="O18" s="181"/>
      <c r="P18" s="181"/>
      <c r="Q18" s="181"/>
      <c r="R18" s="1060"/>
      <c r="S18" s="181"/>
      <c r="T18" s="697"/>
      <c r="U18" s="697"/>
      <c r="V18" s="403"/>
      <c r="W18" s="181"/>
      <c r="X18" s="181"/>
      <c r="Y18" s="181"/>
      <c r="Z18" s="181"/>
      <c r="AA18" s="181"/>
      <c r="AB18" s="125"/>
      <c r="AC18" s="181"/>
    </row>
    <row r="19" spans="1:29" s="126" customFormat="1" ht="12" customHeight="1">
      <c r="A19" s="123"/>
      <c r="B19" s="122" t="s">
        <v>39</v>
      </c>
      <c r="C19" s="124" t="s">
        <v>70</v>
      </c>
      <c r="D19" s="181"/>
      <c r="E19" s="181"/>
      <c r="F19" s="181"/>
      <c r="G19" s="181"/>
      <c r="H19" s="181"/>
      <c r="I19" s="181"/>
      <c r="J19" s="663"/>
      <c r="K19" s="125"/>
      <c r="L19" s="181"/>
      <c r="M19" s="181"/>
      <c r="N19" s="181"/>
      <c r="O19" s="181"/>
      <c r="P19" s="181"/>
      <c r="Q19" s="181"/>
      <c r="R19" s="1060"/>
      <c r="S19" s="181"/>
      <c r="T19" s="697"/>
      <c r="U19" s="697"/>
      <c r="V19" s="403"/>
      <c r="W19" s="181"/>
      <c r="X19" s="181"/>
      <c r="Y19" s="181"/>
      <c r="Z19" s="181"/>
      <c r="AA19" s="181"/>
      <c r="AB19" s="125"/>
      <c r="AC19" s="181"/>
    </row>
    <row r="20" spans="1:29" s="126" customFormat="1" ht="12" customHeight="1" thickBot="1">
      <c r="A20" s="123"/>
      <c r="B20" s="122" t="s">
        <v>257</v>
      </c>
      <c r="C20" s="124" t="s">
        <v>115</v>
      </c>
      <c r="D20" s="181"/>
      <c r="E20" s="181"/>
      <c r="F20" s="181"/>
      <c r="G20" s="181"/>
      <c r="H20" s="181"/>
      <c r="I20" s="181"/>
      <c r="J20" s="663"/>
      <c r="K20" s="125"/>
      <c r="L20" s="181"/>
      <c r="M20" s="181"/>
      <c r="N20" s="181"/>
      <c r="O20" s="181"/>
      <c r="P20" s="181"/>
      <c r="Q20" s="181"/>
      <c r="R20" s="1060"/>
      <c r="S20" s="181"/>
      <c r="T20" s="697"/>
      <c r="U20" s="697"/>
      <c r="V20" s="403"/>
      <c r="W20" s="181"/>
      <c r="X20" s="181"/>
      <c r="Y20" s="181"/>
      <c r="Z20" s="181"/>
      <c r="AA20" s="181"/>
      <c r="AB20" s="125"/>
      <c r="AC20" s="181"/>
    </row>
    <row r="21" spans="1:29" s="126" customFormat="1" ht="12" customHeight="1" thickBot="1">
      <c r="A21" s="129" t="s">
        <v>9</v>
      </c>
      <c r="B21" s="130"/>
      <c r="C21" s="130" t="s">
        <v>118</v>
      </c>
      <c r="D21" s="180">
        <f>SUM(D22:D23)</f>
        <v>0</v>
      </c>
      <c r="E21" s="180">
        <f>SUM(E22:E23)</f>
        <v>0</v>
      </c>
      <c r="F21" s="180">
        <f>SUM(F22:F23)</f>
        <v>0</v>
      </c>
      <c r="G21" s="180">
        <f>SUM(G22:G23)</f>
        <v>0</v>
      </c>
      <c r="H21" s="180">
        <f>SUM(H22:H23)</f>
        <v>0</v>
      </c>
      <c r="I21" s="180"/>
      <c r="J21" s="331"/>
      <c r="K21" s="119"/>
      <c r="L21" s="180">
        <f>SUM(L22:L23)</f>
        <v>0</v>
      </c>
      <c r="M21" s="180">
        <f>SUM(M22:M23)</f>
        <v>0</v>
      </c>
      <c r="N21" s="180">
        <f>SUM(N22:N23)</f>
        <v>0</v>
      </c>
      <c r="O21" s="180">
        <f>SUM(O22:O23)</f>
        <v>0</v>
      </c>
      <c r="P21" s="180">
        <f>SUM(P22:P23)</f>
        <v>0</v>
      </c>
      <c r="Q21" s="180"/>
      <c r="R21" s="1054"/>
      <c r="S21" s="180"/>
      <c r="T21" s="238"/>
      <c r="U21" s="238"/>
      <c r="V21" s="401"/>
      <c r="W21" s="180"/>
      <c r="X21" s="180"/>
      <c r="Y21" s="180"/>
      <c r="Z21" s="180"/>
      <c r="AA21" s="180"/>
      <c r="AB21" s="119"/>
      <c r="AC21" s="180"/>
    </row>
    <row r="22" spans="1:29" s="120" customFormat="1" ht="12" customHeight="1">
      <c r="A22" s="131"/>
      <c r="B22" s="132" t="s">
        <v>40</v>
      </c>
      <c r="C22" s="133" t="s">
        <v>120</v>
      </c>
      <c r="D22" s="182"/>
      <c r="E22" s="182"/>
      <c r="F22" s="182"/>
      <c r="G22" s="182"/>
      <c r="H22" s="182"/>
      <c r="I22" s="182"/>
      <c r="J22" s="664"/>
      <c r="K22" s="134"/>
      <c r="L22" s="182"/>
      <c r="M22" s="182"/>
      <c r="N22" s="182"/>
      <c r="O22" s="182"/>
      <c r="P22" s="182"/>
      <c r="Q22" s="182"/>
      <c r="R22" s="1061"/>
      <c r="S22" s="182"/>
      <c r="T22" s="698"/>
      <c r="U22" s="698"/>
      <c r="V22" s="404"/>
      <c r="W22" s="182"/>
      <c r="X22" s="182"/>
      <c r="Y22" s="182"/>
      <c r="Z22" s="182"/>
      <c r="AA22" s="182"/>
      <c r="AB22" s="134"/>
      <c r="AC22" s="182"/>
    </row>
    <row r="23" spans="1:29" s="120" customFormat="1" ht="12" customHeight="1" thickBot="1">
      <c r="A23" s="135"/>
      <c r="B23" s="136" t="s">
        <v>41</v>
      </c>
      <c r="C23" s="137" t="s">
        <v>122</v>
      </c>
      <c r="D23" s="183"/>
      <c r="E23" s="183"/>
      <c r="F23" s="183"/>
      <c r="G23" s="183"/>
      <c r="H23" s="183"/>
      <c r="I23" s="183"/>
      <c r="J23" s="665"/>
      <c r="K23" s="138"/>
      <c r="L23" s="183"/>
      <c r="M23" s="183"/>
      <c r="N23" s="183"/>
      <c r="O23" s="183"/>
      <c r="P23" s="183"/>
      <c r="Q23" s="183"/>
      <c r="R23" s="1062"/>
      <c r="S23" s="183"/>
      <c r="T23" s="699"/>
      <c r="U23" s="699"/>
      <c r="V23" s="405"/>
      <c r="W23" s="183"/>
      <c r="X23" s="183"/>
      <c r="Y23" s="183"/>
      <c r="Z23" s="183"/>
      <c r="AA23" s="183"/>
      <c r="AB23" s="138"/>
      <c r="AC23" s="183"/>
    </row>
    <row r="24" spans="1:29" s="120" customFormat="1" ht="12" customHeight="1" hidden="1" thickBot="1">
      <c r="A24" s="129" t="s">
        <v>10</v>
      </c>
      <c r="B24" s="117"/>
      <c r="D24" s="184"/>
      <c r="E24" s="184"/>
      <c r="F24" s="184"/>
      <c r="G24" s="184"/>
      <c r="H24" s="184"/>
      <c r="I24" s="184"/>
      <c r="J24" s="666" t="e">
        <f>H24/F24</f>
        <v>#DIV/0!</v>
      </c>
      <c r="K24" s="139"/>
      <c r="L24" s="184"/>
      <c r="M24" s="184"/>
      <c r="N24" s="184"/>
      <c r="O24" s="184"/>
      <c r="P24" s="184"/>
      <c r="Q24" s="184"/>
      <c r="R24" s="1063" t="e">
        <f>P24/N24</f>
        <v>#DIV/0!</v>
      </c>
      <c r="S24" s="184"/>
      <c r="T24" s="235"/>
      <c r="U24" s="235"/>
      <c r="V24" s="406"/>
      <c r="W24" s="184"/>
      <c r="X24" s="184"/>
      <c r="Y24" s="184"/>
      <c r="Z24" s="184"/>
      <c r="AA24" s="184"/>
      <c r="AB24" s="139"/>
      <c r="AC24" s="184"/>
    </row>
    <row r="25" spans="1:29" s="120" customFormat="1" ht="12" customHeight="1" thickBot="1">
      <c r="A25" s="111" t="s">
        <v>10</v>
      </c>
      <c r="B25" s="140"/>
      <c r="C25" s="130" t="s">
        <v>124</v>
      </c>
      <c r="D25" s="238">
        <f aca="true" t="shared" si="3" ref="D25:R25">D10+D15+D16+D21+D24</f>
        <v>50100</v>
      </c>
      <c r="E25" s="238">
        <f t="shared" si="3"/>
        <v>50100</v>
      </c>
      <c r="F25" s="238">
        <f t="shared" si="3"/>
        <v>0</v>
      </c>
      <c r="G25" s="238">
        <f t="shared" si="3"/>
        <v>0</v>
      </c>
      <c r="H25" s="238">
        <f t="shared" si="3"/>
        <v>0</v>
      </c>
      <c r="I25" s="238">
        <f t="shared" si="3"/>
        <v>0</v>
      </c>
      <c r="J25" s="238" t="e">
        <f t="shared" si="3"/>
        <v>#DIV/0!</v>
      </c>
      <c r="K25" s="238">
        <f t="shared" si="3"/>
        <v>0</v>
      </c>
      <c r="L25" s="238">
        <f t="shared" si="3"/>
        <v>50100</v>
      </c>
      <c r="M25" s="238">
        <f t="shared" si="3"/>
        <v>50100</v>
      </c>
      <c r="N25" s="238">
        <f t="shared" si="3"/>
        <v>0</v>
      </c>
      <c r="O25" s="238">
        <f t="shared" si="3"/>
        <v>0</v>
      </c>
      <c r="P25" s="238">
        <f t="shared" si="3"/>
        <v>0</v>
      </c>
      <c r="Q25" s="238">
        <f t="shared" si="3"/>
        <v>0</v>
      </c>
      <c r="R25" s="399" t="e">
        <f t="shared" si="3"/>
        <v>#DIV/0!</v>
      </c>
      <c r="S25" s="238"/>
      <c r="T25" s="238"/>
      <c r="U25" s="238"/>
      <c r="V25" s="401"/>
      <c r="W25" s="180"/>
      <c r="X25" s="180"/>
      <c r="Y25" s="180"/>
      <c r="Z25" s="180"/>
      <c r="AA25" s="180"/>
      <c r="AB25" s="119"/>
      <c r="AC25" s="180"/>
    </row>
    <row r="26" spans="1:29" s="126" customFormat="1" ht="12" customHeight="1" thickBot="1">
      <c r="A26" s="141" t="s">
        <v>11</v>
      </c>
      <c r="B26" s="142"/>
      <c r="C26" s="143" t="s">
        <v>125</v>
      </c>
      <c r="D26" s="239">
        <f aca="true" t="shared" si="4" ref="D26:I26">SUM(D27:D29)</f>
        <v>112193156</v>
      </c>
      <c r="E26" s="239">
        <f>SUM(E27:E29)</f>
        <v>112193156</v>
      </c>
      <c r="F26" s="239">
        <f>SUM(F27:F29)</f>
        <v>0</v>
      </c>
      <c r="G26" s="239">
        <f>SUM(G27:G29)</f>
        <v>0</v>
      </c>
      <c r="H26" s="239">
        <f t="shared" si="4"/>
        <v>0</v>
      </c>
      <c r="I26" s="239">
        <f t="shared" si="4"/>
        <v>0</v>
      </c>
      <c r="J26" s="331" t="e">
        <f>I26/H26</f>
        <v>#DIV/0!</v>
      </c>
      <c r="K26" s="534">
        <f>SUM(K27:K29)</f>
        <v>0</v>
      </c>
      <c r="L26" s="239">
        <f>SUM(L27:L29)</f>
        <v>110754273</v>
      </c>
      <c r="M26" s="239">
        <f>SUM(M27:M29)</f>
        <v>110754273</v>
      </c>
      <c r="N26" s="239">
        <f aca="true" t="shared" si="5" ref="N26:S26">SUM(N27:N29)</f>
        <v>0</v>
      </c>
      <c r="O26" s="239">
        <f t="shared" si="5"/>
        <v>0</v>
      </c>
      <c r="P26" s="239">
        <f t="shared" si="5"/>
        <v>0</v>
      </c>
      <c r="Q26" s="239">
        <f t="shared" si="5"/>
        <v>0</v>
      </c>
      <c r="R26" s="239">
        <f t="shared" si="5"/>
        <v>0</v>
      </c>
      <c r="S26" s="239">
        <f t="shared" si="5"/>
        <v>1438883</v>
      </c>
      <c r="T26" s="239">
        <f>SUM(T27:T29)</f>
        <v>1438883</v>
      </c>
      <c r="U26" s="239">
        <f aca="true" t="shared" si="6" ref="U26:Z26">SUM(U27:U29)</f>
        <v>7923383</v>
      </c>
      <c r="V26" s="239">
        <f>SUM(V27:V29)</f>
        <v>7923383</v>
      </c>
      <c r="W26" s="239">
        <f t="shared" si="6"/>
        <v>0</v>
      </c>
      <c r="X26" s="239">
        <f t="shared" si="6"/>
        <v>0</v>
      </c>
      <c r="Y26" s="239">
        <f t="shared" si="6"/>
        <v>0</v>
      </c>
      <c r="Z26" s="239">
        <f t="shared" si="6"/>
        <v>0</v>
      </c>
      <c r="AA26" s="180"/>
      <c r="AB26" s="119"/>
      <c r="AC26" s="180"/>
    </row>
    <row r="27" spans="1:29" s="126" customFormat="1" ht="15" customHeight="1" thickBot="1">
      <c r="A27" s="121"/>
      <c r="B27" s="144" t="s">
        <v>42</v>
      </c>
      <c r="C27" s="133" t="s">
        <v>127</v>
      </c>
      <c r="D27" s="182">
        <v>2080753</v>
      </c>
      <c r="E27" s="182">
        <v>2080753</v>
      </c>
      <c r="F27" s="182"/>
      <c r="G27" s="182"/>
      <c r="H27" s="182"/>
      <c r="I27" s="182"/>
      <c r="J27" s="695"/>
      <c r="K27" s="134"/>
      <c r="L27" s="182">
        <f>+D27-S27</f>
        <v>2080753</v>
      </c>
      <c r="M27" s="182">
        <f>+E27-T27</f>
        <v>2080753</v>
      </c>
      <c r="N27" s="182"/>
      <c r="O27" s="182"/>
      <c r="P27" s="182"/>
      <c r="Q27" s="182"/>
      <c r="R27" s="1064"/>
      <c r="S27" s="182"/>
      <c r="T27" s="182"/>
      <c r="U27" s="698"/>
      <c r="V27" s="698"/>
      <c r="W27" s="182"/>
      <c r="X27" s="182"/>
      <c r="Y27" s="182"/>
      <c r="Z27" s="182"/>
      <c r="AA27" s="411"/>
      <c r="AB27" s="240"/>
      <c r="AC27" s="411"/>
    </row>
    <row r="28" spans="1:29" s="126" customFormat="1" ht="15" customHeight="1">
      <c r="A28" s="535"/>
      <c r="B28" s="536" t="s">
        <v>43</v>
      </c>
      <c r="C28" s="435" t="s">
        <v>428</v>
      </c>
      <c r="D28" s="538">
        <v>110112403</v>
      </c>
      <c r="E28" s="538">
        <v>110112403</v>
      </c>
      <c r="F28" s="538"/>
      <c r="G28" s="538"/>
      <c r="H28" s="538"/>
      <c r="I28" s="538"/>
      <c r="J28" s="695"/>
      <c r="K28" s="542"/>
      <c r="L28" s="419">
        <f>+D28-S28</f>
        <v>108673520</v>
      </c>
      <c r="M28" s="419">
        <f>+E28-T28</f>
        <v>108673520</v>
      </c>
      <c r="N28" s="538"/>
      <c r="O28" s="538"/>
      <c r="P28" s="538"/>
      <c r="Q28" s="538"/>
      <c r="R28" s="1064"/>
      <c r="S28" s="538">
        <v>1438883</v>
      </c>
      <c r="T28" s="538">
        <v>1438883</v>
      </c>
      <c r="U28" s="1068">
        <v>7923383</v>
      </c>
      <c r="V28" s="1068">
        <v>7923383</v>
      </c>
      <c r="W28" s="539"/>
      <c r="X28" s="539"/>
      <c r="Y28" s="539"/>
      <c r="Z28" s="539"/>
      <c r="AA28" s="540"/>
      <c r="AB28" s="541"/>
      <c r="AC28" s="540"/>
    </row>
    <row r="29" spans="1:29" s="126" customFormat="1" ht="15" customHeight="1" thickBot="1">
      <c r="A29" s="145"/>
      <c r="B29" s="146" t="s">
        <v>68</v>
      </c>
      <c r="C29" s="147" t="s">
        <v>129</v>
      </c>
      <c r="D29" s="186"/>
      <c r="E29" s="186"/>
      <c r="F29" s="186"/>
      <c r="G29" s="186"/>
      <c r="H29" s="186"/>
      <c r="I29" s="186"/>
      <c r="J29" s="667"/>
      <c r="K29" s="148"/>
      <c r="L29" s="186"/>
      <c r="M29" s="186"/>
      <c r="N29" s="186"/>
      <c r="O29" s="186"/>
      <c r="P29" s="186"/>
      <c r="Q29" s="186"/>
      <c r="R29" s="1065"/>
      <c r="S29" s="186"/>
      <c r="T29" s="186"/>
      <c r="U29" s="700"/>
      <c r="V29" s="700"/>
      <c r="W29" s="408"/>
      <c r="X29" s="408"/>
      <c r="Y29" s="408"/>
      <c r="Z29" s="408"/>
      <c r="AA29" s="186"/>
      <c r="AB29" s="148"/>
      <c r="AC29" s="186"/>
    </row>
    <row r="30" spans="1:29" ht="13.5" hidden="1" thickBot="1">
      <c r="A30" s="149" t="s">
        <v>12</v>
      </c>
      <c r="B30" s="150"/>
      <c r="C30" s="151" t="s">
        <v>130</v>
      </c>
      <c r="D30" s="235"/>
      <c r="E30" s="235"/>
      <c r="F30" s="235"/>
      <c r="G30" s="235"/>
      <c r="H30" s="235"/>
      <c r="I30" s="235"/>
      <c r="J30" s="668" t="e">
        <f>H30/F30</f>
        <v>#DIV/0!</v>
      </c>
      <c r="K30" s="139"/>
      <c r="L30" s="235"/>
      <c r="M30" s="235"/>
      <c r="N30" s="235"/>
      <c r="O30" s="235"/>
      <c r="P30" s="235"/>
      <c r="Q30" s="235"/>
      <c r="R30" s="1053" t="e">
        <f>P30/N30</f>
        <v>#DIV/0!</v>
      </c>
      <c r="S30" s="235"/>
      <c r="T30" s="235"/>
      <c r="U30" s="235"/>
      <c r="V30" s="235"/>
      <c r="W30" s="406"/>
      <c r="X30" s="406"/>
      <c r="Y30" s="406"/>
      <c r="Z30" s="406"/>
      <c r="AA30" s="184"/>
      <c r="AB30" s="139"/>
      <c r="AC30" s="184"/>
    </row>
    <row r="31" spans="1:29" s="114" customFormat="1" ht="16.5" customHeight="1" thickBot="1">
      <c r="A31" s="149" t="s">
        <v>12</v>
      </c>
      <c r="B31" s="152"/>
      <c r="C31" s="153" t="s">
        <v>260</v>
      </c>
      <c r="D31" s="241">
        <f aca="true" t="shared" si="7" ref="D31:I31">D25+D30+D26</f>
        <v>112243256</v>
      </c>
      <c r="E31" s="241">
        <f>E25+E30+E26</f>
        <v>112243256</v>
      </c>
      <c r="F31" s="241">
        <f>F25+F30+F26</f>
        <v>0</v>
      </c>
      <c r="G31" s="241">
        <f>G25+G30+G26</f>
        <v>0</v>
      </c>
      <c r="H31" s="241">
        <f t="shared" si="7"/>
        <v>0</v>
      </c>
      <c r="I31" s="241">
        <f t="shared" si="7"/>
        <v>0</v>
      </c>
      <c r="J31" s="331" t="e">
        <f>I31/H31</f>
        <v>#DIV/0!</v>
      </c>
      <c r="K31" s="172">
        <f>K25+K30+K26</f>
        <v>0</v>
      </c>
      <c r="L31" s="241">
        <f>L25+L30+L26</f>
        <v>110804373</v>
      </c>
      <c r="M31" s="241">
        <f>M25+M30+M26</f>
        <v>110804373</v>
      </c>
      <c r="N31" s="241">
        <f aca="true" t="shared" si="8" ref="N31:S31">N25+N30+N26</f>
        <v>0</v>
      </c>
      <c r="O31" s="241">
        <f t="shared" si="8"/>
        <v>0</v>
      </c>
      <c r="P31" s="241">
        <f t="shared" si="8"/>
        <v>0</v>
      </c>
      <c r="Q31" s="241">
        <f t="shared" si="8"/>
        <v>0</v>
      </c>
      <c r="R31" s="241" t="e">
        <f t="shared" si="8"/>
        <v>#DIV/0!</v>
      </c>
      <c r="S31" s="241">
        <f t="shared" si="8"/>
        <v>1438883</v>
      </c>
      <c r="T31" s="241">
        <f>T25+T30+T26</f>
        <v>1438883</v>
      </c>
      <c r="U31" s="241">
        <f aca="true" t="shared" si="9" ref="U31:Z31">U25+U30+U26</f>
        <v>7923383</v>
      </c>
      <c r="V31" s="241">
        <f>V25+V30+V26</f>
        <v>7923383</v>
      </c>
      <c r="W31" s="241">
        <f t="shared" si="9"/>
        <v>0</v>
      </c>
      <c r="X31" s="241">
        <f t="shared" si="9"/>
        <v>0</v>
      </c>
      <c r="Y31" s="241">
        <f t="shared" si="9"/>
        <v>0</v>
      </c>
      <c r="Z31" s="241">
        <f t="shared" si="9"/>
        <v>0</v>
      </c>
      <c r="AA31" s="187"/>
      <c r="AB31" s="172"/>
      <c r="AC31" s="187"/>
    </row>
    <row r="32" spans="1:22" s="158" customFormat="1" ht="12" customHeight="1">
      <c r="A32" s="155"/>
      <c r="B32" s="155"/>
      <c r="C32" s="156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</row>
    <row r="33" spans="1:22" ht="12" customHeight="1" thickBot="1">
      <c r="A33" s="159"/>
      <c r="B33" s="160"/>
      <c r="C33" s="160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</row>
    <row r="34" spans="1:28" ht="12" customHeight="1" thickBot="1">
      <c r="A34" s="162"/>
      <c r="B34" s="163"/>
      <c r="C34" s="164" t="s">
        <v>132</v>
      </c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409"/>
      <c r="V34" s="409"/>
      <c r="W34" s="187"/>
      <c r="X34" s="187"/>
      <c r="Y34" s="187"/>
      <c r="Z34" s="779"/>
      <c r="AA34" s="172"/>
      <c r="AB34" s="154"/>
    </row>
    <row r="35" spans="1:29" ht="12" customHeight="1" thickBot="1">
      <c r="A35" s="129" t="s">
        <v>26</v>
      </c>
      <c r="B35" s="165"/>
      <c r="C35" s="412" t="s">
        <v>133</v>
      </c>
      <c r="D35" s="401">
        <f aca="true" t="shared" si="10" ref="D35:I35">SUM(D36:D40)</f>
        <v>111354256</v>
      </c>
      <c r="E35" s="401">
        <f>SUM(E36:E40)</f>
        <v>111354256</v>
      </c>
      <c r="F35" s="401">
        <f>SUM(F36:F40)</f>
        <v>0</v>
      </c>
      <c r="G35" s="401">
        <f>SUM(G36:G40)</f>
        <v>0</v>
      </c>
      <c r="H35" s="401">
        <f t="shared" si="10"/>
        <v>0</v>
      </c>
      <c r="I35" s="401">
        <f t="shared" si="10"/>
        <v>0</v>
      </c>
      <c r="J35" s="331" t="e">
        <f>I35/H35</f>
        <v>#DIV/0!</v>
      </c>
      <c r="K35" s="395">
        <f>SUM(K36:K40)</f>
        <v>0</v>
      </c>
      <c r="L35" s="401">
        <f>SUM(L36:L40)</f>
        <v>109915373</v>
      </c>
      <c r="M35" s="401">
        <f>SUM(M36:M40)</f>
        <v>109915373</v>
      </c>
      <c r="N35" s="401">
        <f aca="true" t="shared" si="11" ref="N35:S35">SUM(N36:N40)</f>
        <v>0</v>
      </c>
      <c r="O35" s="401">
        <f t="shared" si="11"/>
        <v>0</v>
      </c>
      <c r="P35" s="401">
        <f t="shared" si="11"/>
        <v>0</v>
      </c>
      <c r="Q35" s="401">
        <f t="shared" si="11"/>
        <v>0</v>
      </c>
      <c r="R35" s="401">
        <f t="shared" si="11"/>
        <v>0</v>
      </c>
      <c r="S35" s="401">
        <f t="shared" si="11"/>
        <v>1438883</v>
      </c>
      <c r="T35" s="401">
        <f>SUM(T36:T40)</f>
        <v>1438883</v>
      </c>
      <c r="U35" s="401">
        <f aca="true" t="shared" si="12" ref="U35:Z35">SUM(U36:U40)</f>
        <v>7923383</v>
      </c>
      <c r="V35" s="401">
        <f>SUM(V36:V40)</f>
        <v>7923383</v>
      </c>
      <c r="W35" s="401">
        <f>SUM(W36:W40)</f>
        <v>0</v>
      </c>
      <c r="X35" s="401">
        <f>SUM(X36:X40)</f>
        <v>0</v>
      </c>
      <c r="Y35" s="401">
        <f t="shared" si="12"/>
        <v>5610894</v>
      </c>
      <c r="Z35" s="401">
        <f t="shared" si="12"/>
        <v>0</v>
      </c>
      <c r="AA35" s="331">
        <f>Z35/Y35</f>
        <v>0</v>
      </c>
      <c r="AB35" s="424"/>
      <c r="AC35" s="119">
        <f>SUM(AC36:AC40)</f>
        <v>0</v>
      </c>
    </row>
    <row r="36" spans="1:29" ht="12" customHeight="1">
      <c r="A36" s="166"/>
      <c r="B36" s="167" t="s">
        <v>107</v>
      </c>
      <c r="C36" s="413" t="s">
        <v>134</v>
      </c>
      <c r="D36" s="419">
        <v>81429324</v>
      </c>
      <c r="E36" s="419">
        <v>81429324</v>
      </c>
      <c r="F36" s="419"/>
      <c r="G36" s="419"/>
      <c r="H36" s="419"/>
      <c r="I36" s="419"/>
      <c r="J36" s="695"/>
      <c r="K36" s="693"/>
      <c r="L36" s="419">
        <f aca="true" t="shared" si="13" ref="L36:M38">+D36-S36</f>
        <v>80163701</v>
      </c>
      <c r="M36" s="419">
        <f t="shared" si="13"/>
        <v>80163701</v>
      </c>
      <c r="N36" s="419"/>
      <c r="O36" s="419"/>
      <c r="P36" s="419"/>
      <c r="Q36" s="419"/>
      <c r="R36" s="695"/>
      <c r="S36" s="419">
        <v>1265623</v>
      </c>
      <c r="T36" s="419">
        <v>1265623</v>
      </c>
      <c r="U36" s="403">
        <v>5806094</v>
      </c>
      <c r="V36" s="403">
        <v>5806094</v>
      </c>
      <c r="W36" s="403"/>
      <c r="X36" s="403"/>
      <c r="Y36" s="403">
        <v>3626473</v>
      </c>
      <c r="Z36" s="403"/>
      <c r="AA36" s="695">
        <f>Z36/Y36</f>
        <v>0</v>
      </c>
      <c r="AB36" s="425"/>
      <c r="AC36" s="125"/>
    </row>
    <row r="37" spans="1:29" ht="12" customHeight="1">
      <c r="A37" s="168"/>
      <c r="B37" s="169" t="s">
        <v>108</v>
      </c>
      <c r="C37" s="414" t="s">
        <v>49</v>
      </c>
      <c r="D37" s="420">
        <v>14692021</v>
      </c>
      <c r="E37" s="420">
        <v>14692021</v>
      </c>
      <c r="F37" s="420"/>
      <c r="G37" s="420"/>
      <c r="H37" s="420"/>
      <c r="I37" s="420"/>
      <c r="J37" s="695"/>
      <c r="K37" s="427"/>
      <c r="L37" s="419">
        <f t="shared" si="13"/>
        <v>14518761</v>
      </c>
      <c r="M37" s="419">
        <f t="shared" si="13"/>
        <v>14518761</v>
      </c>
      <c r="N37" s="420"/>
      <c r="O37" s="420"/>
      <c r="P37" s="420"/>
      <c r="Q37" s="420"/>
      <c r="R37" s="695"/>
      <c r="S37" s="420">
        <v>173260</v>
      </c>
      <c r="T37" s="420">
        <v>173260</v>
      </c>
      <c r="U37" s="403">
        <v>1031148</v>
      </c>
      <c r="V37" s="403">
        <v>1031148</v>
      </c>
      <c r="W37" s="403"/>
      <c r="X37" s="403"/>
      <c r="Y37" s="403">
        <v>799596</v>
      </c>
      <c r="Z37" s="403"/>
      <c r="AA37" s="695">
        <f>Z37/Y37</f>
        <v>0</v>
      </c>
      <c r="AB37" s="425"/>
      <c r="AC37" s="125"/>
    </row>
    <row r="38" spans="1:29" ht="12" customHeight="1">
      <c r="A38" s="168"/>
      <c r="B38" s="169" t="s">
        <v>109</v>
      </c>
      <c r="C38" s="414" t="s">
        <v>135</v>
      </c>
      <c r="D38" s="420">
        <v>15232911</v>
      </c>
      <c r="E38" s="420">
        <v>15232911</v>
      </c>
      <c r="F38" s="420"/>
      <c r="G38" s="420"/>
      <c r="H38" s="420"/>
      <c r="I38" s="420"/>
      <c r="J38" s="695"/>
      <c r="K38" s="427"/>
      <c r="L38" s="419">
        <f t="shared" si="13"/>
        <v>15232911</v>
      </c>
      <c r="M38" s="419">
        <f t="shared" si="13"/>
        <v>15232911</v>
      </c>
      <c r="N38" s="420"/>
      <c r="O38" s="420"/>
      <c r="P38" s="420"/>
      <c r="Q38" s="420"/>
      <c r="R38" s="695"/>
      <c r="S38" s="420"/>
      <c r="T38" s="420"/>
      <c r="U38" s="403">
        <v>1086141</v>
      </c>
      <c r="V38" s="403">
        <v>1086141</v>
      </c>
      <c r="W38" s="403"/>
      <c r="X38" s="403"/>
      <c r="Y38" s="403">
        <v>1184825</v>
      </c>
      <c r="Z38" s="403"/>
      <c r="AA38" s="695">
        <f>Z38/Y38</f>
        <v>0</v>
      </c>
      <c r="AB38" s="425"/>
      <c r="AC38" s="125"/>
    </row>
    <row r="39" spans="1:29" s="158" customFormat="1" ht="12" customHeight="1">
      <c r="A39" s="168"/>
      <c r="B39" s="169" t="s">
        <v>110</v>
      </c>
      <c r="C39" s="414" t="s">
        <v>78</v>
      </c>
      <c r="D39" s="420"/>
      <c r="E39" s="420"/>
      <c r="F39" s="420"/>
      <c r="G39" s="420"/>
      <c r="H39" s="420"/>
      <c r="I39" s="420"/>
      <c r="J39" s="695"/>
      <c r="K39" s="427"/>
      <c r="L39" s="420"/>
      <c r="M39" s="420"/>
      <c r="N39" s="420"/>
      <c r="O39" s="420"/>
      <c r="P39" s="420"/>
      <c r="Q39" s="420"/>
      <c r="R39" s="695"/>
      <c r="S39" s="420"/>
      <c r="T39" s="420"/>
      <c r="U39" s="403"/>
      <c r="V39" s="403"/>
      <c r="W39" s="403"/>
      <c r="X39" s="403"/>
      <c r="Y39" s="403"/>
      <c r="Z39" s="403"/>
      <c r="AA39" s="125"/>
      <c r="AB39" s="426"/>
      <c r="AC39" s="125"/>
    </row>
    <row r="40" spans="1:29" ht="12" customHeight="1" thickBot="1">
      <c r="A40" s="168"/>
      <c r="B40" s="169" t="s">
        <v>48</v>
      </c>
      <c r="C40" s="414" t="s">
        <v>80</v>
      </c>
      <c r="D40" s="420"/>
      <c r="E40" s="420"/>
      <c r="F40" s="420"/>
      <c r="G40" s="420"/>
      <c r="H40" s="420"/>
      <c r="I40" s="420"/>
      <c r="J40" s="695"/>
      <c r="K40" s="427"/>
      <c r="L40" s="420"/>
      <c r="M40" s="420"/>
      <c r="N40" s="420"/>
      <c r="O40" s="420"/>
      <c r="P40" s="420"/>
      <c r="Q40" s="420"/>
      <c r="R40" s="695"/>
      <c r="S40" s="420"/>
      <c r="T40" s="420"/>
      <c r="U40" s="420"/>
      <c r="V40" s="420"/>
      <c r="W40" s="420"/>
      <c r="X40" s="420"/>
      <c r="Y40" s="420"/>
      <c r="Z40" s="420"/>
      <c r="AA40" s="170"/>
      <c r="AB40" s="427"/>
      <c r="AC40" s="170"/>
    </row>
    <row r="41" spans="1:29" ht="12" customHeight="1" thickBot="1">
      <c r="A41" s="129" t="s">
        <v>27</v>
      </c>
      <c r="B41" s="165"/>
      <c r="C41" s="412" t="s">
        <v>136</v>
      </c>
      <c r="D41" s="401">
        <f aca="true" t="shared" si="14" ref="D41:I41">SUM(D42:D45)</f>
        <v>889000</v>
      </c>
      <c r="E41" s="401">
        <f>SUM(E42:E45)</f>
        <v>889000</v>
      </c>
      <c r="F41" s="401">
        <f>SUM(F42:F45)</f>
        <v>0</v>
      </c>
      <c r="G41" s="401">
        <f>SUM(G42:G45)</f>
        <v>0</v>
      </c>
      <c r="H41" s="401">
        <f t="shared" si="14"/>
        <v>0</v>
      </c>
      <c r="I41" s="401">
        <f t="shared" si="14"/>
        <v>0</v>
      </c>
      <c r="J41" s="331" t="e">
        <f>I41/H41</f>
        <v>#DIV/0!</v>
      </c>
      <c r="K41" s="395">
        <f aca="true" t="shared" si="15" ref="K41:Q41">SUM(K42:K45)</f>
        <v>0</v>
      </c>
      <c r="L41" s="401">
        <f t="shared" si="15"/>
        <v>889000</v>
      </c>
      <c r="M41" s="401">
        <f>SUM(M42:M45)</f>
        <v>889000</v>
      </c>
      <c r="N41" s="401">
        <f>SUM(N42:N45)</f>
        <v>0</v>
      </c>
      <c r="O41" s="401">
        <f>SUM(O42:O45)</f>
        <v>0</v>
      </c>
      <c r="P41" s="401">
        <f t="shared" si="15"/>
        <v>0</v>
      </c>
      <c r="Q41" s="401">
        <f t="shared" si="15"/>
        <v>0</v>
      </c>
      <c r="R41" s="331" t="e">
        <f>Q41/P41</f>
        <v>#DIV/0!</v>
      </c>
      <c r="S41" s="401"/>
      <c r="T41" s="401"/>
      <c r="U41" s="401">
        <f aca="true" t="shared" si="16" ref="U41:AA41">SUM(U42:U45)</f>
        <v>0</v>
      </c>
      <c r="V41" s="401">
        <f>SUM(V42:V45)</f>
        <v>0</v>
      </c>
      <c r="W41" s="401">
        <f>SUM(W42:W45)</f>
        <v>0</v>
      </c>
      <c r="X41" s="401">
        <f>SUM(X42:X45)</f>
        <v>0</v>
      </c>
      <c r="Y41" s="401">
        <f t="shared" si="16"/>
        <v>0</v>
      </c>
      <c r="Z41" s="401">
        <f t="shared" si="16"/>
        <v>0</v>
      </c>
      <c r="AA41" s="119">
        <f t="shared" si="16"/>
        <v>0</v>
      </c>
      <c r="AB41" s="395"/>
      <c r="AC41" s="119">
        <f>SUM(AC42:AC45)</f>
        <v>0</v>
      </c>
    </row>
    <row r="42" spans="1:29" ht="12" customHeight="1">
      <c r="A42" s="166"/>
      <c r="B42" s="167" t="s">
        <v>137</v>
      </c>
      <c r="C42" s="413" t="s">
        <v>90</v>
      </c>
      <c r="D42" s="420">
        <v>889000</v>
      </c>
      <c r="E42" s="420">
        <v>889000</v>
      </c>
      <c r="F42" s="419"/>
      <c r="G42" s="419"/>
      <c r="H42" s="419"/>
      <c r="I42" s="419"/>
      <c r="J42" s="695"/>
      <c r="K42" s="693"/>
      <c r="L42" s="419">
        <f>+D42-S42</f>
        <v>889000</v>
      </c>
      <c r="M42" s="419">
        <f>+E42-T42</f>
        <v>889000</v>
      </c>
      <c r="N42" s="419"/>
      <c r="O42" s="419"/>
      <c r="P42" s="419"/>
      <c r="Q42" s="419"/>
      <c r="R42" s="695" t="e">
        <f>Q42/P42</f>
        <v>#DIV/0!</v>
      </c>
      <c r="S42" s="419"/>
      <c r="T42" s="419"/>
      <c r="U42" s="403"/>
      <c r="V42" s="403"/>
      <c r="W42" s="403"/>
      <c r="X42" s="403"/>
      <c r="Y42" s="403"/>
      <c r="Z42" s="403"/>
      <c r="AA42" s="125"/>
      <c r="AB42" s="426"/>
      <c r="AC42" s="125"/>
    </row>
    <row r="43" spans="1:29" ht="12" customHeight="1">
      <c r="A43" s="168"/>
      <c r="B43" s="169" t="s">
        <v>138</v>
      </c>
      <c r="C43" s="414" t="s">
        <v>91</v>
      </c>
      <c r="D43" s="420"/>
      <c r="E43" s="420"/>
      <c r="F43" s="420"/>
      <c r="G43" s="420"/>
      <c r="H43" s="420"/>
      <c r="I43" s="420"/>
      <c r="J43" s="189"/>
      <c r="K43" s="427"/>
      <c r="L43" s="420"/>
      <c r="M43" s="420"/>
      <c r="N43" s="420"/>
      <c r="O43" s="420"/>
      <c r="P43" s="420"/>
      <c r="Q43" s="420"/>
      <c r="R43" s="189"/>
      <c r="S43" s="420"/>
      <c r="T43" s="420"/>
      <c r="U43" s="420"/>
      <c r="V43" s="420"/>
      <c r="W43" s="420"/>
      <c r="X43" s="420"/>
      <c r="Y43" s="420"/>
      <c r="Z43" s="420"/>
      <c r="AA43" s="170"/>
      <c r="AB43" s="427"/>
      <c r="AC43" s="170"/>
    </row>
    <row r="44" spans="1:29" ht="15" customHeight="1">
      <c r="A44" s="168"/>
      <c r="B44" s="169" t="s">
        <v>139</v>
      </c>
      <c r="C44" s="414" t="s">
        <v>140</v>
      </c>
      <c r="D44" s="420"/>
      <c r="E44" s="420"/>
      <c r="F44" s="420"/>
      <c r="G44" s="420"/>
      <c r="H44" s="420"/>
      <c r="I44" s="420"/>
      <c r="J44" s="189"/>
      <c r="K44" s="427"/>
      <c r="L44" s="420"/>
      <c r="M44" s="420"/>
      <c r="N44" s="420"/>
      <c r="O44" s="420"/>
      <c r="P44" s="420"/>
      <c r="Q44" s="420"/>
      <c r="R44" s="189"/>
      <c r="S44" s="420"/>
      <c r="T44" s="420"/>
      <c r="U44" s="420"/>
      <c r="V44" s="420"/>
      <c r="W44" s="420"/>
      <c r="X44" s="420"/>
      <c r="Y44" s="420"/>
      <c r="Z44" s="420"/>
      <c r="AA44" s="170"/>
      <c r="AB44" s="427"/>
      <c r="AC44" s="170"/>
    </row>
    <row r="45" spans="1:29" ht="23.25" thickBot="1">
      <c r="A45" s="168"/>
      <c r="B45" s="169" t="s">
        <v>141</v>
      </c>
      <c r="C45" s="414" t="s">
        <v>142</v>
      </c>
      <c r="D45" s="420"/>
      <c r="E45" s="420"/>
      <c r="F45" s="420"/>
      <c r="G45" s="420"/>
      <c r="H45" s="420"/>
      <c r="I45" s="420"/>
      <c r="J45" s="189"/>
      <c r="K45" s="427"/>
      <c r="L45" s="420"/>
      <c r="M45" s="420"/>
      <c r="N45" s="420"/>
      <c r="O45" s="420"/>
      <c r="P45" s="420"/>
      <c r="Q45" s="420"/>
      <c r="R45" s="189"/>
      <c r="S45" s="420"/>
      <c r="T45" s="420"/>
      <c r="U45" s="420"/>
      <c r="V45" s="420"/>
      <c r="W45" s="420"/>
      <c r="X45" s="420"/>
      <c r="Y45" s="420"/>
      <c r="Z45" s="420"/>
      <c r="AA45" s="170"/>
      <c r="AB45" s="427"/>
      <c r="AC45" s="170"/>
    </row>
    <row r="46" spans="1:29" ht="15" customHeight="1" hidden="1" thickBot="1">
      <c r="A46" s="129" t="s">
        <v>9</v>
      </c>
      <c r="B46" s="165"/>
      <c r="C46" s="415" t="s">
        <v>143</v>
      </c>
      <c r="D46" s="406"/>
      <c r="E46" s="406"/>
      <c r="F46" s="406"/>
      <c r="G46" s="406"/>
      <c r="H46" s="406"/>
      <c r="I46" s="406"/>
      <c r="J46" s="184"/>
      <c r="K46" s="396"/>
      <c r="L46" s="406"/>
      <c r="M46" s="406"/>
      <c r="N46" s="406"/>
      <c r="O46" s="406"/>
      <c r="P46" s="406"/>
      <c r="Q46" s="406"/>
      <c r="R46" s="184"/>
      <c r="S46" s="406"/>
      <c r="T46" s="406"/>
      <c r="U46" s="406"/>
      <c r="V46" s="406"/>
      <c r="W46" s="406"/>
      <c r="X46" s="406"/>
      <c r="Y46" s="406"/>
      <c r="Z46" s="406"/>
      <c r="AA46" s="139"/>
      <c r="AB46" s="396"/>
      <c r="AC46" s="139"/>
    </row>
    <row r="47" spans="1:29" ht="14.25" customHeight="1" hidden="1" thickBot="1">
      <c r="A47" s="149" t="s">
        <v>10</v>
      </c>
      <c r="B47" s="150"/>
      <c r="C47" s="416" t="s">
        <v>144</v>
      </c>
      <c r="D47" s="406"/>
      <c r="E47" s="406"/>
      <c r="F47" s="406"/>
      <c r="G47" s="406"/>
      <c r="H47" s="406"/>
      <c r="I47" s="406"/>
      <c r="J47" s="184"/>
      <c r="K47" s="396"/>
      <c r="L47" s="406"/>
      <c r="M47" s="406"/>
      <c r="N47" s="406"/>
      <c r="O47" s="406"/>
      <c r="P47" s="406"/>
      <c r="Q47" s="406"/>
      <c r="R47" s="184"/>
      <c r="S47" s="406"/>
      <c r="T47" s="406"/>
      <c r="U47" s="406"/>
      <c r="V47" s="406"/>
      <c r="W47" s="406"/>
      <c r="X47" s="406"/>
      <c r="Y47" s="406"/>
      <c r="Z47" s="406"/>
      <c r="AA47" s="139"/>
      <c r="AB47" s="396"/>
      <c r="AC47" s="139"/>
    </row>
    <row r="48" spans="1:29" ht="13.5" thickBot="1">
      <c r="A48" s="129" t="s">
        <v>9</v>
      </c>
      <c r="B48" s="171"/>
      <c r="C48" s="417" t="s">
        <v>261</v>
      </c>
      <c r="D48" s="409">
        <f aca="true" t="shared" si="17" ref="D48:I48">D35+D41+D46+D47</f>
        <v>112243256</v>
      </c>
      <c r="E48" s="409">
        <f>E35+E41+E46+E47</f>
        <v>112243256</v>
      </c>
      <c r="F48" s="409">
        <f>F35+F41+F46+F47</f>
        <v>0</v>
      </c>
      <c r="G48" s="409">
        <f>G35+G41+G46+G47</f>
        <v>0</v>
      </c>
      <c r="H48" s="409">
        <f t="shared" si="17"/>
        <v>0</v>
      </c>
      <c r="I48" s="409">
        <f t="shared" si="17"/>
        <v>0</v>
      </c>
      <c r="J48" s="331" t="e">
        <f>I48/H48</f>
        <v>#DIV/0!</v>
      </c>
      <c r="K48" s="154">
        <f aca="true" t="shared" si="18" ref="K48:S48">K35+K41+K46+K47</f>
        <v>0</v>
      </c>
      <c r="L48" s="409">
        <f t="shared" si="18"/>
        <v>110804373</v>
      </c>
      <c r="M48" s="409">
        <f>M35+M41+M46+M47</f>
        <v>110804373</v>
      </c>
      <c r="N48" s="409">
        <f t="shared" si="18"/>
        <v>0</v>
      </c>
      <c r="O48" s="409">
        <f t="shared" si="18"/>
        <v>0</v>
      </c>
      <c r="P48" s="409">
        <f t="shared" si="18"/>
        <v>0</v>
      </c>
      <c r="Q48" s="409">
        <f t="shared" si="18"/>
        <v>0</v>
      </c>
      <c r="R48" s="409" t="e">
        <f t="shared" si="18"/>
        <v>#DIV/0!</v>
      </c>
      <c r="S48" s="409">
        <f t="shared" si="18"/>
        <v>1438883</v>
      </c>
      <c r="T48" s="409">
        <f>T35+T41+T46+T47</f>
        <v>1438883</v>
      </c>
      <c r="U48" s="409">
        <f aca="true" t="shared" si="19" ref="U48:Z48">U35+U41+U46+U47</f>
        <v>7923383</v>
      </c>
      <c r="V48" s="409">
        <f>V35+V41+V46+V47</f>
        <v>7923383</v>
      </c>
      <c r="W48" s="409">
        <f>W35+W41+W46+W47</f>
        <v>0</v>
      </c>
      <c r="X48" s="409">
        <f>X35+X41+X46+X47</f>
        <v>0</v>
      </c>
      <c r="Y48" s="409">
        <f t="shared" si="19"/>
        <v>5610894</v>
      </c>
      <c r="Z48" s="409">
        <f t="shared" si="19"/>
        <v>0</v>
      </c>
      <c r="AA48" s="331">
        <f>Z48/Y48</f>
        <v>0</v>
      </c>
      <c r="AB48" s="428">
        <f>AA48/Y48</f>
        <v>0</v>
      </c>
      <c r="AC48" s="172">
        <f>AC35+AC41+AC46+AC47</f>
        <v>0</v>
      </c>
    </row>
    <row r="49" spans="1:29" ht="13.5" thickBot="1">
      <c r="A49" s="173"/>
      <c r="B49" s="174"/>
      <c r="C49" s="174"/>
      <c r="D49" s="429"/>
      <c r="E49" s="429"/>
      <c r="F49" s="429"/>
      <c r="G49" s="429"/>
      <c r="H49" s="429"/>
      <c r="I49" s="429"/>
      <c r="J49" s="430"/>
      <c r="K49" s="694"/>
      <c r="L49" s="429"/>
      <c r="M49" s="429"/>
      <c r="N49" s="429"/>
      <c r="O49" s="429"/>
      <c r="P49" s="429"/>
      <c r="Q49" s="429"/>
      <c r="R49" s="430"/>
      <c r="S49" s="429"/>
      <c r="T49" s="429"/>
      <c r="U49" s="429"/>
      <c r="V49" s="429"/>
      <c r="W49" s="429"/>
      <c r="X49" s="429"/>
      <c r="Y49" s="429"/>
      <c r="Z49" s="429"/>
      <c r="AA49" s="431"/>
      <c r="AC49" s="431"/>
    </row>
    <row r="50" spans="1:29" ht="13.5" thickBot="1">
      <c r="A50" s="175" t="s">
        <v>146</v>
      </c>
      <c r="B50" s="176"/>
      <c r="C50" s="418"/>
      <c r="D50" s="432">
        <v>17</v>
      </c>
      <c r="E50" s="432">
        <v>17</v>
      </c>
      <c r="F50" s="432">
        <v>17</v>
      </c>
      <c r="G50" s="432">
        <v>16</v>
      </c>
      <c r="H50" s="432">
        <v>18</v>
      </c>
      <c r="I50" s="432">
        <v>17</v>
      </c>
      <c r="J50" s="331"/>
      <c r="K50" s="191"/>
      <c r="L50" s="432">
        <v>17</v>
      </c>
      <c r="M50" s="432">
        <v>17</v>
      </c>
      <c r="N50" s="432">
        <v>17</v>
      </c>
      <c r="O50" s="432">
        <v>16</v>
      </c>
      <c r="P50" s="432">
        <v>18</v>
      </c>
      <c r="Q50" s="432">
        <v>17</v>
      </c>
      <c r="R50" s="331"/>
      <c r="S50" s="432">
        <v>0</v>
      </c>
      <c r="T50" s="432">
        <v>0</v>
      </c>
      <c r="U50" s="432">
        <v>0</v>
      </c>
      <c r="V50" s="432">
        <v>0</v>
      </c>
      <c r="W50" s="432">
        <v>0</v>
      </c>
      <c r="X50" s="432">
        <v>0</v>
      </c>
      <c r="Y50" s="432">
        <v>2</v>
      </c>
      <c r="Z50" s="432">
        <v>0</v>
      </c>
      <c r="AA50" s="331">
        <f>Z50/Y50</f>
        <v>0</v>
      </c>
      <c r="AB50" s="191"/>
      <c r="AC50" s="421"/>
    </row>
    <row r="51" spans="1:29" ht="13.5" thickBot="1">
      <c r="A51" s="175" t="s">
        <v>147</v>
      </c>
      <c r="B51" s="176"/>
      <c r="C51" s="418"/>
      <c r="D51" s="432">
        <v>0</v>
      </c>
      <c r="E51" s="432">
        <v>0</v>
      </c>
      <c r="F51" s="432">
        <v>0</v>
      </c>
      <c r="G51" s="432">
        <v>0</v>
      </c>
      <c r="H51" s="432">
        <v>0</v>
      </c>
      <c r="I51" s="432">
        <v>0</v>
      </c>
      <c r="J51" s="331"/>
      <c r="K51" s="191"/>
      <c r="L51" s="432">
        <v>0</v>
      </c>
      <c r="M51" s="432">
        <v>0</v>
      </c>
      <c r="N51" s="432">
        <v>0</v>
      </c>
      <c r="O51" s="432">
        <v>0</v>
      </c>
      <c r="P51" s="432">
        <v>0</v>
      </c>
      <c r="Q51" s="432">
        <v>0</v>
      </c>
      <c r="R51" s="331"/>
      <c r="S51" s="432">
        <v>0</v>
      </c>
      <c r="T51" s="432">
        <v>0</v>
      </c>
      <c r="U51" s="432">
        <v>0</v>
      </c>
      <c r="V51" s="432">
        <v>0</v>
      </c>
      <c r="W51" s="432">
        <v>0</v>
      </c>
      <c r="X51" s="432">
        <v>0</v>
      </c>
      <c r="Y51" s="432">
        <v>0</v>
      </c>
      <c r="Z51" s="432">
        <v>0</v>
      </c>
      <c r="AA51" s="421"/>
      <c r="AB51" s="191"/>
      <c r="AC51" s="421"/>
    </row>
    <row r="52" spans="6:20" ht="7.5" customHeight="1">
      <c r="F52" s="193"/>
      <c r="G52" s="193"/>
      <c r="H52" s="193"/>
      <c r="I52" s="193"/>
      <c r="J52" s="193"/>
      <c r="K52" s="193"/>
      <c r="N52" s="193"/>
      <c r="O52" s="193"/>
      <c r="P52" s="193"/>
      <c r="Q52" s="193"/>
      <c r="R52" s="193"/>
      <c r="S52" s="193"/>
      <c r="T52" s="193"/>
    </row>
    <row r="53" spans="1:20" ht="12.75" hidden="1">
      <c r="A53" s="1286" t="s">
        <v>205</v>
      </c>
      <c r="B53" s="1286"/>
      <c r="C53" s="1286"/>
      <c r="F53" s="193"/>
      <c r="J53" s="110">
        <v>100213</v>
      </c>
      <c r="N53" s="193"/>
      <c r="O53" s="193"/>
      <c r="P53" s="193"/>
      <c r="Q53" s="193"/>
      <c r="R53" s="193"/>
      <c r="S53" s="193"/>
      <c r="T53" s="193"/>
    </row>
    <row r="54" spans="4:11" ht="12.75">
      <c r="D54" s="193">
        <v>0</v>
      </c>
      <c r="E54" s="193"/>
      <c r="F54" s="193"/>
      <c r="G54" s="193"/>
      <c r="H54" s="193"/>
      <c r="I54" s="193"/>
      <c r="J54" s="193"/>
      <c r="K54" s="193"/>
    </row>
  </sheetData>
  <sheetProtection/>
  <mergeCells count="7">
    <mergeCell ref="C1:Y1"/>
    <mergeCell ref="A6:B6"/>
    <mergeCell ref="A4:U4"/>
    <mergeCell ref="A53:C53"/>
    <mergeCell ref="D6:K6"/>
    <mergeCell ref="L6:R6"/>
    <mergeCell ref="U6:AB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9"/>
  <sheetViews>
    <sheetView workbookViewId="0" topLeftCell="A1">
      <selection activeCell="Y4" sqref="Y4"/>
    </sheetView>
  </sheetViews>
  <sheetFormatPr defaultColWidth="9.140625" defaultRowHeight="12.75"/>
  <cols>
    <col min="1" max="1" width="8.28125" style="273" customWidth="1"/>
    <col min="2" max="2" width="8.28125" style="267" customWidth="1"/>
    <col min="3" max="3" width="52.00390625" style="267" customWidth="1"/>
    <col min="4" max="4" width="13.28125" style="267" customWidth="1"/>
    <col min="5" max="5" width="11.28125" style="267" customWidth="1"/>
    <col min="6" max="6" width="11.00390625" style="267" hidden="1" customWidth="1"/>
    <col min="7" max="7" width="12.140625" style="267" hidden="1" customWidth="1"/>
    <col min="8" max="8" width="12.28125" style="267" hidden="1" customWidth="1"/>
    <col min="9" max="9" width="13.00390625" style="267" hidden="1" customWidth="1"/>
    <col min="10" max="10" width="9.8515625" style="267" hidden="1" customWidth="1"/>
    <col min="11" max="11" width="9.7109375" style="267" hidden="1" customWidth="1"/>
    <col min="12" max="12" width="13.7109375" style="267" customWidth="1"/>
    <col min="13" max="13" width="11.28125" style="267" customWidth="1"/>
    <col min="14" max="14" width="14.00390625" style="267" hidden="1" customWidth="1"/>
    <col min="15" max="15" width="11.28125" style="267" hidden="1" customWidth="1"/>
    <col min="16" max="16" width="12.28125" style="267" hidden="1" customWidth="1"/>
    <col min="17" max="17" width="13.00390625" style="267" hidden="1" customWidth="1"/>
    <col min="18" max="18" width="8.421875" style="267" hidden="1" customWidth="1"/>
    <col min="19" max="19" width="13.57421875" style="267" bestFit="1" customWidth="1"/>
    <col min="20" max="20" width="6.28125" style="267" customWidth="1"/>
    <col min="21" max="21" width="7.140625" style="267" hidden="1" customWidth="1"/>
    <col min="22" max="22" width="8.57421875" style="267" hidden="1" customWidth="1"/>
    <col min="23" max="23" width="13.28125" style="267" hidden="1" customWidth="1"/>
    <col min="24" max="16384" width="9.140625" style="267" customWidth="1"/>
  </cols>
  <sheetData>
    <row r="1" spans="1:22" s="102" customFormat="1" ht="21" customHeight="1">
      <c r="A1" s="98"/>
      <c r="B1" s="99"/>
      <c r="C1" s="100"/>
      <c r="D1" s="101"/>
      <c r="E1" s="101"/>
      <c r="F1" s="101"/>
      <c r="G1" s="101"/>
      <c r="H1" s="101"/>
      <c r="I1" s="101"/>
      <c r="J1" s="101"/>
      <c r="K1" s="101"/>
      <c r="L1" s="1282" t="s">
        <v>549</v>
      </c>
      <c r="M1" s="1282"/>
      <c r="N1" s="1282"/>
      <c r="O1" s="1282"/>
      <c r="P1" s="1282"/>
      <c r="Q1" s="1282"/>
      <c r="R1" s="1282"/>
      <c r="S1" s="1282"/>
      <c r="T1" s="1282"/>
      <c r="U1" s="1282"/>
      <c r="V1" s="1282"/>
    </row>
    <row r="2" spans="1:22" s="102" customFormat="1" ht="21" customHeight="1">
      <c r="A2" s="98"/>
      <c r="B2" s="99"/>
      <c r="C2" s="100"/>
      <c r="D2" s="101"/>
      <c r="E2" s="101"/>
      <c r="F2" s="101"/>
      <c r="G2" s="101"/>
      <c r="H2" s="101"/>
      <c r="I2" s="101"/>
      <c r="J2" s="101"/>
      <c r="K2" s="101"/>
      <c r="L2" s="1186"/>
      <c r="M2" s="1186"/>
      <c r="N2" s="1186"/>
      <c r="O2" s="1186"/>
      <c r="P2" s="1186"/>
      <c r="Q2" s="1186"/>
      <c r="R2" s="1186"/>
      <c r="S2" s="1186"/>
      <c r="T2" s="1427" t="s">
        <v>635</v>
      </c>
      <c r="U2" s="1186"/>
      <c r="V2" s="1186"/>
    </row>
    <row r="3" spans="1:11" s="102" customFormat="1" ht="21" customHeight="1">
      <c r="A3" s="213"/>
      <c r="B3" s="99"/>
      <c r="C3" s="104"/>
      <c r="D3" s="103"/>
      <c r="E3" s="103"/>
      <c r="F3" s="103"/>
      <c r="G3" s="103"/>
      <c r="H3" s="103"/>
      <c r="I3" s="103"/>
      <c r="J3" s="103"/>
      <c r="K3" s="103"/>
    </row>
    <row r="4" spans="1:19" s="105" customFormat="1" ht="25.5" customHeight="1">
      <c r="A4" s="1285" t="s">
        <v>207</v>
      </c>
      <c r="B4" s="1285"/>
      <c r="C4" s="1285"/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</row>
    <row r="5" spans="1:19" s="108" customFormat="1" ht="15.75" customHeight="1" thickBot="1">
      <c r="A5" s="106"/>
      <c r="B5" s="106"/>
      <c r="C5" s="106"/>
      <c r="S5" s="107" t="s">
        <v>427</v>
      </c>
    </row>
    <row r="6" spans="1:23" s="108" customFormat="1" ht="41.25" customHeight="1" thickBot="1">
      <c r="A6" s="106"/>
      <c r="B6" s="106"/>
      <c r="C6" s="106"/>
      <c r="D6" s="1292" t="s">
        <v>4</v>
      </c>
      <c r="E6" s="1293"/>
      <c r="F6" s="1293"/>
      <c r="G6" s="1293"/>
      <c r="H6" s="1293"/>
      <c r="I6" s="1293"/>
      <c r="J6" s="1293"/>
      <c r="K6" s="1294"/>
      <c r="L6" s="1292" t="s">
        <v>102</v>
      </c>
      <c r="M6" s="1293"/>
      <c r="N6" s="1293"/>
      <c r="O6" s="1293"/>
      <c r="P6" s="1293"/>
      <c r="Q6" s="1293"/>
      <c r="R6" s="1294"/>
      <c r="S6" s="1292" t="s">
        <v>149</v>
      </c>
      <c r="T6" s="1293"/>
      <c r="U6" s="1293"/>
      <c r="V6" s="1293"/>
      <c r="W6" s="1293"/>
    </row>
    <row r="7" spans="1:23" ht="13.5" thickBot="1">
      <c r="A7" s="1283" t="s">
        <v>103</v>
      </c>
      <c r="B7" s="1284"/>
      <c r="C7" s="433" t="s">
        <v>104</v>
      </c>
      <c r="D7" s="423" t="s">
        <v>62</v>
      </c>
      <c r="E7" s="109" t="s">
        <v>215</v>
      </c>
      <c r="F7" s="109" t="s">
        <v>218</v>
      </c>
      <c r="G7" s="109" t="s">
        <v>220</v>
      </c>
      <c r="H7" s="433" t="s">
        <v>232</v>
      </c>
      <c r="I7" s="433" t="s">
        <v>237</v>
      </c>
      <c r="J7" s="394" t="s">
        <v>224</v>
      </c>
      <c r="K7" s="393" t="s">
        <v>236</v>
      </c>
      <c r="L7" s="423" t="s">
        <v>62</v>
      </c>
      <c r="M7" s="109" t="s">
        <v>215</v>
      </c>
      <c r="N7" s="109" t="s">
        <v>218</v>
      </c>
      <c r="O7" s="109" t="s">
        <v>220</v>
      </c>
      <c r="P7" s="433" t="s">
        <v>232</v>
      </c>
      <c r="Q7" s="433" t="s">
        <v>237</v>
      </c>
      <c r="R7" s="394" t="s">
        <v>224</v>
      </c>
      <c r="S7" s="423" t="s">
        <v>62</v>
      </c>
      <c r="T7" s="109" t="s">
        <v>215</v>
      </c>
      <c r="U7" s="109" t="s">
        <v>218</v>
      </c>
      <c r="V7" s="109" t="s">
        <v>220</v>
      </c>
      <c r="W7" s="109" t="s">
        <v>237</v>
      </c>
    </row>
    <row r="8" spans="1:23" s="114" customFormat="1" ht="12.75" customHeight="1" thickBot="1">
      <c r="A8" s="111">
        <v>1</v>
      </c>
      <c r="B8" s="112">
        <v>2</v>
      </c>
      <c r="C8" s="257">
        <v>3</v>
      </c>
      <c r="D8" s="111">
        <v>4</v>
      </c>
      <c r="E8" s="112">
        <v>5</v>
      </c>
      <c r="F8" s="112">
        <v>6</v>
      </c>
      <c r="G8" s="112">
        <v>7</v>
      </c>
      <c r="H8" s="257">
        <v>8</v>
      </c>
      <c r="I8" s="257">
        <v>5</v>
      </c>
      <c r="J8" s="113">
        <v>9</v>
      </c>
      <c r="K8" s="983">
        <v>9</v>
      </c>
      <c r="L8" s="111">
        <v>6</v>
      </c>
      <c r="M8" s="112">
        <v>7</v>
      </c>
      <c r="N8" s="112">
        <v>10</v>
      </c>
      <c r="O8" s="112">
        <v>11</v>
      </c>
      <c r="P8" s="257">
        <v>13</v>
      </c>
      <c r="Q8" s="113">
        <v>7</v>
      </c>
      <c r="R8" s="440">
        <v>15</v>
      </c>
      <c r="S8" s="111">
        <v>8</v>
      </c>
      <c r="T8" s="112">
        <v>9</v>
      </c>
      <c r="U8" s="113">
        <v>14</v>
      </c>
      <c r="V8" s="113">
        <v>15</v>
      </c>
      <c r="W8" s="113">
        <v>9</v>
      </c>
    </row>
    <row r="9" spans="1:23" s="114" customFormat="1" ht="15.75" customHeight="1" thickBot="1">
      <c r="A9" s="115"/>
      <c r="B9" s="116"/>
      <c r="C9" s="116" t="s">
        <v>105</v>
      </c>
      <c r="D9" s="400"/>
      <c r="E9" s="400"/>
      <c r="F9" s="445"/>
      <c r="G9" s="445"/>
      <c r="H9" s="762"/>
      <c r="I9" s="762"/>
      <c r="J9" s="702"/>
      <c r="K9" s="696"/>
      <c r="L9" s="400"/>
      <c r="M9" s="400"/>
      <c r="N9" s="236"/>
      <c r="O9" s="236"/>
      <c r="P9" s="763"/>
      <c r="Q9" s="237"/>
      <c r="R9" s="441"/>
      <c r="S9" s="447"/>
      <c r="T9" s="236"/>
      <c r="U9" s="237"/>
      <c r="V9" s="237"/>
      <c r="W9" s="237"/>
    </row>
    <row r="10" spans="1:23" s="120" customFormat="1" ht="12" customHeight="1" thickBot="1">
      <c r="A10" s="111" t="s">
        <v>26</v>
      </c>
      <c r="B10" s="117"/>
      <c r="C10" s="434" t="s">
        <v>321</v>
      </c>
      <c r="D10" s="401">
        <f aca="true" t="shared" si="0" ref="D10:I10">SUM(D11:D18)</f>
        <v>34373894</v>
      </c>
      <c r="E10" s="401">
        <f>SUM(E11:E18)</f>
        <v>34373994</v>
      </c>
      <c r="F10" s="401">
        <f>SUM(F11:F18)</f>
        <v>0</v>
      </c>
      <c r="G10" s="401">
        <f>SUM(G11:G18)</f>
        <v>0</v>
      </c>
      <c r="H10" s="401">
        <f t="shared" si="0"/>
        <v>0</v>
      </c>
      <c r="I10" s="401">
        <f t="shared" si="0"/>
        <v>0</v>
      </c>
      <c r="J10" s="331"/>
      <c r="K10" s="238"/>
      <c r="L10" s="401">
        <f aca="true" t="shared" si="1" ref="L10:Q10">SUM(L11:L18)</f>
        <v>34373894</v>
      </c>
      <c r="M10" s="401">
        <f t="shared" si="1"/>
        <v>34373994</v>
      </c>
      <c r="N10" s="401">
        <f t="shared" si="1"/>
        <v>0</v>
      </c>
      <c r="O10" s="401">
        <f t="shared" si="1"/>
        <v>0</v>
      </c>
      <c r="P10" s="401">
        <f t="shared" si="1"/>
        <v>0</v>
      </c>
      <c r="Q10" s="401">
        <f t="shared" si="1"/>
        <v>0</v>
      </c>
      <c r="R10" s="331" t="e">
        <f>Q10/P10</f>
        <v>#DIV/0!</v>
      </c>
      <c r="S10" s="401"/>
      <c r="T10" s="180"/>
      <c r="U10" s="119"/>
      <c r="V10" s="119"/>
      <c r="W10" s="119"/>
    </row>
    <row r="11" spans="1:23" s="120" customFormat="1" ht="12" customHeight="1">
      <c r="A11" s="121"/>
      <c r="B11" s="132" t="s">
        <v>34</v>
      </c>
      <c r="C11" s="834" t="s">
        <v>442</v>
      </c>
      <c r="D11" s="837">
        <v>18123280</v>
      </c>
      <c r="E11" s="837">
        <v>18123280</v>
      </c>
      <c r="F11" s="837"/>
      <c r="G11" s="837"/>
      <c r="H11" s="837"/>
      <c r="I11" s="837"/>
      <c r="J11" s="810"/>
      <c r="K11" s="826"/>
      <c r="L11" s="837">
        <v>18123280</v>
      </c>
      <c r="M11" s="837">
        <v>18123280</v>
      </c>
      <c r="N11" s="837"/>
      <c r="O11" s="837"/>
      <c r="P11" s="837"/>
      <c r="Q11" s="837"/>
      <c r="R11" s="810"/>
      <c r="S11" s="812"/>
      <c r="T11" s="808"/>
      <c r="U11" s="811"/>
      <c r="V11" s="811"/>
      <c r="W11" s="811"/>
    </row>
    <row r="12" spans="1:23" s="120" customFormat="1" ht="12" customHeight="1">
      <c r="A12" s="123"/>
      <c r="B12" s="122" t="s">
        <v>35</v>
      </c>
      <c r="C12" s="835" t="s">
        <v>319</v>
      </c>
      <c r="D12" s="838">
        <v>3332000</v>
      </c>
      <c r="E12" s="838">
        <v>3332000</v>
      </c>
      <c r="F12" s="838"/>
      <c r="G12" s="838"/>
      <c r="H12" s="838"/>
      <c r="I12" s="838"/>
      <c r="J12" s="816"/>
      <c r="K12" s="827"/>
      <c r="L12" s="838">
        <v>3332000</v>
      </c>
      <c r="M12" s="838">
        <v>3332000</v>
      </c>
      <c r="N12" s="838"/>
      <c r="O12" s="838"/>
      <c r="P12" s="838"/>
      <c r="Q12" s="838"/>
      <c r="R12" s="816"/>
      <c r="S12" s="818"/>
      <c r="T12" s="814"/>
      <c r="U12" s="817"/>
      <c r="V12" s="817"/>
      <c r="W12" s="817"/>
    </row>
    <row r="13" spans="1:23" s="120" customFormat="1" ht="12" customHeight="1">
      <c r="A13" s="123"/>
      <c r="B13" s="122" t="s">
        <v>36</v>
      </c>
      <c r="C13" s="835" t="s">
        <v>444</v>
      </c>
      <c r="D13" s="838"/>
      <c r="E13" s="838"/>
      <c r="F13" s="838"/>
      <c r="G13" s="838"/>
      <c r="H13" s="838"/>
      <c r="I13" s="838"/>
      <c r="J13" s="816"/>
      <c r="K13" s="827"/>
      <c r="L13" s="838"/>
      <c r="M13" s="838"/>
      <c r="N13" s="838"/>
      <c r="O13" s="838"/>
      <c r="P13" s="838"/>
      <c r="Q13" s="838"/>
      <c r="R13" s="816"/>
      <c r="S13" s="818"/>
      <c r="T13" s="814"/>
      <c r="U13" s="817"/>
      <c r="V13" s="817"/>
      <c r="W13" s="817"/>
    </row>
    <row r="14" spans="1:23" s="120" customFormat="1" ht="12" customHeight="1">
      <c r="A14" s="123"/>
      <c r="B14" s="122" t="s">
        <v>47</v>
      </c>
      <c r="C14" s="835" t="s">
        <v>445</v>
      </c>
      <c r="D14" s="838">
        <v>6433487</v>
      </c>
      <c r="E14" s="838">
        <v>6433487</v>
      </c>
      <c r="F14" s="838"/>
      <c r="G14" s="838"/>
      <c r="H14" s="838"/>
      <c r="I14" s="838"/>
      <c r="J14" s="816"/>
      <c r="K14" s="827"/>
      <c r="L14" s="838">
        <v>6433487</v>
      </c>
      <c r="M14" s="838">
        <v>6433487</v>
      </c>
      <c r="N14" s="838"/>
      <c r="O14" s="838"/>
      <c r="P14" s="838"/>
      <c r="Q14" s="838"/>
      <c r="R14" s="816"/>
      <c r="S14" s="818"/>
      <c r="T14" s="814"/>
      <c r="U14" s="817"/>
      <c r="V14" s="817"/>
      <c r="W14" s="817"/>
    </row>
    <row r="15" spans="1:23" s="120" customFormat="1" ht="12" customHeight="1">
      <c r="A15" s="123"/>
      <c r="B15" s="122" t="s">
        <v>48</v>
      </c>
      <c r="C15" s="836" t="s">
        <v>446</v>
      </c>
      <c r="D15" s="839">
        <v>6485127</v>
      </c>
      <c r="E15" s="839">
        <v>6485127</v>
      </c>
      <c r="F15" s="839"/>
      <c r="G15" s="839"/>
      <c r="H15" s="839"/>
      <c r="I15" s="839"/>
      <c r="J15" s="823"/>
      <c r="K15" s="833"/>
      <c r="L15" s="839">
        <v>6485127</v>
      </c>
      <c r="M15" s="839">
        <v>6485127</v>
      </c>
      <c r="N15" s="839"/>
      <c r="O15" s="839"/>
      <c r="P15" s="839"/>
      <c r="Q15" s="839"/>
      <c r="R15" s="823"/>
      <c r="S15" s="825"/>
      <c r="T15" s="821"/>
      <c r="U15" s="824"/>
      <c r="V15" s="824"/>
      <c r="W15" s="824"/>
    </row>
    <row r="16" spans="1:23" s="120" customFormat="1" ht="12" customHeight="1">
      <c r="A16" s="123"/>
      <c r="B16" s="122" t="s">
        <v>447</v>
      </c>
      <c r="C16" s="836" t="s">
        <v>296</v>
      </c>
      <c r="D16" s="825"/>
      <c r="E16" s="839">
        <v>100</v>
      </c>
      <c r="F16" s="839"/>
      <c r="G16" s="839"/>
      <c r="H16" s="839"/>
      <c r="I16" s="839"/>
      <c r="J16" s="910"/>
      <c r="K16" s="911"/>
      <c r="L16" s="839"/>
      <c r="M16" s="839">
        <v>100</v>
      </c>
      <c r="N16" s="839"/>
      <c r="O16" s="839"/>
      <c r="P16" s="839"/>
      <c r="Q16" s="839"/>
      <c r="R16" s="823"/>
      <c r="S16" s="825"/>
      <c r="T16" s="821"/>
      <c r="U16" s="824"/>
      <c r="V16" s="824"/>
      <c r="W16" s="824"/>
    </row>
    <row r="17" spans="1:23" s="120" customFormat="1" ht="12" customHeight="1">
      <c r="A17" s="123"/>
      <c r="B17" s="122" t="s">
        <v>448</v>
      </c>
      <c r="C17" s="820" t="s">
        <v>443</v>
      </c>
      <c r="D17" s="825"/>
      <c r="E17" s="839"/>
      <c r="F17" s="839"/>
      <c r="G17" s="839"/>
      <c r="H17" s="839"/>
      <c r="I17" s="839"/>
      <c r="J17" s="910"/>
      <c r="K17" s="911"/>
      <c r="L17" s="839"/>
      <c r="M17" s="839"/>
      <c r="N17" s="839"/>
      <c r="O17" s="839"/>
      <c r="P17" s="839"/>
      <c r="Q17" s="839"/>
      <c r="R17" s="823"/>
      <c r="S17" s="825"/>
      <c r="T17" s="821"/>
      <c r="U17" s="824"/>
      <c r="V17" s="824"/>
      <c r="W17" s="824"/>
    </row>
    <row r="18" spans="1:23" s="120" customFormat="1" ht="12" customHeight="1" thickBot="1">
      <c r="A18" s="840"/>
      <c r="B18" s="841"/>
      <c r="C18" s="828"/>
      <c r="D18" s="829"/>
      <c r="E18" s="829"/>
      <c r="F18" s="829"/>
      <c r="G18" s="829"/>
      <c r="H18" s="912"/>
      <c r="I18" s="912"/>
      <c r="J18" s="913"/>
      <c r="K18" s="914"/>
      <c r="L18" s="829"/>
      <c r="M18" s="829"/>
      <c r="N18" s="829"/>
      <c r="O18" s="829"/>
      <c r="P18" s="912"/>
      <c r="Q18" s="912"/>
      <c r="R18" s="830"/>
      <c r="S18" s="829"/>
      <c r="T18" s="831"/>
      <c r="U18" s="832"/>
      <c r="V18" s="832"/>
      <c r="W18" s="832"/>
    </row>
    <row r="19" spans="1:23" s="120" customFormat="1" ht="12" customHeight="1" thickBot="1">
      <c r="A19" s="111" t="s">
        <v>27</v>
      </c>
      <c r="B19" s="117"/>
      <c r="C19" s="434" t="s">
        <v>112</v>
      </c>
      <c r="D19" s="401">
        <f aca="true" t="shared" si="2" ref="D19:I19">D20+D22</f>
        <v>0</v>
      </c>
      <c r="E19" s="401">
        <f>E20+E22</f>
        <v>0</v>
      </c>
      <c r="F19" s="401">
        <f>F20+F22</f>
        <v>0</v>
      </c>
      <c r="G19" s="401">
        <f>G20+G22</f>
        <v>0</v>
      </c>
      <c r="H19" s="401">
        <f t="shared" si="2"/>
        <v>0</v>
      </c>
      <c r="I19" s="401">
        <f t="shared" si="2"/>
        <v>0</v>
      </c>
      <c r="J19" s="331"/>
      <c r="K19" s="238">
        <f aca="true" t="shared" si="3" ref="K19:Q19">K20+K22</f>
        <v>0</v>
      </c>
      <c r="L19" s="401">
        <f t="shared" si="3"/>
        <v>0</v>
      </c>
      <c r="M19" s="401">
        <f t="shared" si="3"/>
        <v>0</v>
      </c>
      <c r="N19" s="401">
        <f>N20+N22</f>
        <v>0</v>
      </c>
      <c r="O19" s="401">
        <f>O20+O22</f>
        <v>0</v>
      </c>
      <c r="P19" s="401">
        <f t="shared" si="3"/>
        <v>0</v>
      </c>
      <c r="Q19" s="401">
        <f t="shared" si="3"/>
        <v>0</v>
      </c>
      <c r="R19" s="331"/>
      <c r="S19" s="401"/>
      <c r="T19" s="180"/>
      <c r="U19" s="119"/>
      <c r="V19" s="119"/>
      <c r="W19" s="119"/>
    </row>
    <row r="20" spans="1:23" s="126" customFormat="1" ht="12" customHeight="1">
      <c r="A20" s="123"/>
      <c r="B20" s="122" t="s">
        <v>37</v>
      </c>
      <c r="C20" s="413" t="s">
        <v>69</v>
      </c>
      <c r="D20" s="403"/>
      <c r="E20" s="403"/>
      <c r="F20" s="403"/>
      <c r="G20" s="403"/>
      <c r="H20" s="403"/>
      <c r="I20" s="403"/>
      <c r="J20" s="663"/>
      <c r="K20" s="697"/>
      <c r="L20" s="403"/>
      <c r="M20" s="403"/>
      <c r="N20" s="403"/>
      <c r="O20" s="403"/>
      <c r="P20" s="403"/>
      <c r="Q20" s="403"/>
      <c r="R20" s="663"/>
      <c r="S20" s="403"/>
      <c r="T20" s="181"/>
      <c r="U20" s="125"/>
      <c r="V20" s="125"/>
      <c r="W20" s="125"/>
    </row>
    <row r="21" spans="1:23" s="126" customFormat="1" ht="12" customHeight="1">
      <c r="A21" s="123"/>
      <c r="B21" s="122" t="s">
        <v>38</v>
      </c>
      <c r="C21" s="414" t="s">
        <v>115</v>
      </c>
      <c r="D21" s="403"/>
      <c r="E21" s="403"/>
      <c r="F21" s="403"/>
      <c r="G21" s="403"/>
      <c r="H21" s="403"/>
      <c r="I21" s="403"/>
      <c r="J21" s="663"/>
      <c r="K21" s="697"/>
      <c r="L21" s="403"/>
      <c r="M21" s="403"/>
      <c r="N21" s="403"/>
      <c r="O21" s="403"/>
      <c r="P21" s="403"/>
      <c r="Q21" s="403"/>
      <c r="R21" s="663"/>
      <c r="S21" s="403"/>
      <c r="T21" s="181"/>
      <c r="U21" s="125"/>
      <c r="V21" s="125"/>
      <c r="W21" s="125"/>
    </row>
    <row r="22" spans="1:23" s="126" customFormat="1" ht="12" customHeight="1">
      <c r="A22" s="123"/>
      <c r="B22" s="122" t="s">
        <v>39</v>
      </c>
      <c r="C22" s="414" t="s">
        <v>70</v>
      </c>
      <c r="D22" s="403"/>
      <c r="E22" s="403"/>
      <c r="F22" s="403"/>
      <c r="G22" s="403"/>
      <c r="H22" s="403"/>
      <c r="I22" s="403"/>
      <c r="J22" s="663"/>
      <c r="K22" s="697"/>
      <c r="L22" s="403"/>
      <c r="M22" s="403"/>
      <c r="N22" s="403"/>
      <c r="O22" s="403"/>
      <c r="P22" s="403"/>
      <c r="Q22" s="403"/>
      <c r="R22" s="663"/>
      <c r="S22" s="403"/>
      <c r="T22" s="181"/>
      <c r="U22" s="125"/>
      <c r="V22" s="125"/>
      <c r="W22" s="125"/>
    </row>
    <row r="23" spans="1:23" s="126" customFormat="1" ht="12" customHeight="1" thickBot="1">
      <c r="A23" s="123"/>
      <c r="B23" s="122" t="s">
        <v>257</v>
      </c>
      <c r="C23" s="414" t="s">
        <v>115</v>
      </c>
      <c r="D23" s="403"/>
      <c r="E23" s="403"/>
      <c r="F23" s="403"/>
      <c r="G23" s="403"/>
      <c r="H23" s="403"/>
      <c r="I23" s="403"/>
      <c r="J23" s="663"/>
      <c r="K23" s="697"/>
      <c r="L23" s="403"/>
      <c r="M23" s="403"/>
      <c r="N23" s="403"/>
      <c r="O23" s="403"/>
      <c r="P23" s="403"/>
      <c r="Q23" s="403"/>
      <c r="R23" s="663"/>
      <c r="S23" s="403"/>
      <c r="T23" s="181"/>
      <c r="U23" s="125"/>
      <c r="V23" s="125"/>
      <c r="W23" s="125"/>
    </row>
    <row r="24" spans="1:23" s="126" customFormat="1" ht="12" customHeight="1" thickBot="1">
      <c r="A24" s="129" t="s">
        <v>9</v>
      </c>
      <c r="B24" s="130"/>
      <c r="C24" s="412" t="s">
        <v>118</v>
      </c>
      <c r="D24" s="401">
        <f aca="true" t="shared" si="4" ref="D24:I24">SUM(D25:D26)</f>
        <v>0</v>
      </c>
      <c r="E24" s="401">
        <f>SUM(E25:E26)</f>
        <v>0</v>
      </c>
      <c r="F24" s="401">
        <f>SUM(F25:F26)</f>
        <v>0</v>
      </c>
      <c r="G24" s="401">
        <f>SUM(G25:G26)</f>
        <v>0</v>
      </c>
      <c r="H24" s="401">
        <f t="shared" si="4"/>
        <v>0</v>
      </c>
      <c r="I24" s="401">
        <f t="shared" si="4"/>
        <v>0</v>
      </c>
      <c r="J24" s="331"/>
      <c r="K24" s="238">
        <f aca="true" t="shared" si="5" ref="K24:Q24">SUM(K25:K26)</f>
        <v>0</v>
      </c>
      <c r="L24" s="401">
        <f t="shared" si="5"/>
        <v>0</v>
      </c>
      <c r="M24" s="401">
        <f t="shared" si="5"/>
        <v>0</v>
      </c>
      <c r="N24" s="401">
        <f>SUM(N25:N26)</f>
        <v>0</v>
      </c>
      <c r="O24" s="401">
        <f>SUM(O25:O26)</f>
        <v>0</v>
      </c>
      <c r="P24" s="401">
        <f t="shared" si="5"/>
        <v>0</v>
      </c>
      <c r="Q24" s="401">
        <f t="shared" si="5"/>
        <v>0</v>
      </c>
      <c r="R24" s="331"/>
      <c r="S24" s="401"/>
      <c r="T24" s="180"/>
      <c r="U24" s="119"/>
      <c r="V24" s="119"/>
      <c r="W24" s="119"/>
    </row>
    <row r="25" spans="1:23" s="120" customFormat="1" ht="12" customHeight="1">
      <c r="A25" s="131"/>
      <c r="B25" s="132" t="s">
        <v>40</v>
      </c>
      <c r="C25" s="435" t="s">
        <v>120</v>
      </c>
      <c r="D25" s="404"/>
      <c r="E25" s="404"/>
      <c r="F25" s="404"/>
      <c r="G25" s="404"/>
      <c r="H25" s="404"/>
      <c r="I25" s="404"/>
      <c r="J25" s="664"/>
      <c r="K25" s="698"/>
      <c r="L25" s="404"/>
      <c r="M25" s="404"/>
      <c r="N25" s="404"/>
      <c r="O25" s="404"/>
      <c r="P25" s="404"/>
      <c r="Q25" s="404"/>
      <c r="R25" s="664"/>
      <c r="S25" s="404"/>
      <c r="T25" s="182"/>
      <c r="U25" s="134"/>
      <c r="V25" s="134"/>
      <c r="W25" s="134"/>
    </row>
    <row r="26" spans="1:23" s="120" customFormat="1" ht="12" customHeight="1" thickBot="1">
      <c r="A26" s="135"/>
      <c r="B26" s="136" t="s">
        <v>41</v>
      </c>
      <c r="C26" s="436" t="s">
        <v>122</v>
      </c>
      <c r="D26" s="405"/>
      <c r="E26" s="405"/>
      <c r="F26" s="405"/>
      <c r="G26" s="405"/>
      <c r="H26" s="405"/>
      <c r="I26" s="405"/>
      <c r="J26" s="665"/>
      <c r="K26" s="699"/>
      <c r="L26" s="405"/>
      <c r="M26" s="405"/>
      <c r="N26" s="405"/>
      <c r="O26" s="405"/>
      <c r="P26" s="405"/>
      <c r="Q26" s="405"/>
      <c r="R26" s="665"/>
      <c r="S26" s="405"/>
      <c r="T26" s="183"/>
      <c r="U26" s="138"/>
      <c r="V26" s="138"/>
      <c r="W26" s="138"/>
    </row>
    <row r="27" spans="1:23" s="120" customFormat="1" ht="12" customHeight="1" thickBot="1">
      <c r="A27" s="129"/>
      <c r="B27" s="117"/>
      <c r="D27" s="406"/>
      <c r="E27" s="406"/>
      <c r="F27" s="406"/>
      <c r="G27" s="406"/>
      <c r="H27" s="406"/>
      <c r="I27" s="406"/>
      <c r="J27" s="666"/>
      <c r="K27" s="235"/>
      <c r="L27" s="406"/>
      <c r="M27" s="406"/>
      <c r="N27" s="406"/>
      <c r="O27" s="406"/>
      <c r="P27" s="406"/>
      <c r="Q27" s="406"/>
      <c r="R27" s="666"/>
      <c r="S27" s="406"/>
      <c r="T27" s="184"/>
      <c r="U27" s="139"/>
      <c r="V27" s="139"/>
      <c r="W27" s="139"/>
    </row>
    <row r="28" spans="1:23" s="120" customFormat="1" ht="12" customHeight="1" thickBot="1">
      <c r="A28" s="111" t="s">
        <v>10</v>
      </c>
      <c r="B28" s="140"/>
      <c r="C28" s="412" t="s">
        <v>258</v>
      </c>
      <c r="D28" s="401">
        <f aca="true" t="shared" si="6" ref="D28:I28">D10+D19+D24+D27</f>
        <v>34373894</v>
      </c>
      <c r="E28" s="401">
        <f>E10+E19+E24+E27</f>
        <v>34373994</v>
      </c>
      <c r="F28" s="401">
        <f>F10+F19+F24+F27</f>
        <v>0</v>
      </c>
      <c r="G28" s="401">
        <f>G10+G19+G24+G27</f>
        <v>0</v>
      </c>
      <c r="H28" s="401">
        <f t="shared" si="6"/>
        <v>0</v>
      </c>
      <c r="I28" s="401">
        <f t="shared" si="6"/>
        <v>0</v>
      </c>
      <c r="J28" s="331" t="e">
        <f>I28/H28</f>
        <v>#DIV/0!</v>
      </c>
      <c r="K28" s="238">
        <f aca="true" t="shared" si="7" ref="K28:Q28">K10+K19+K24+K27</f>
        <v>0</v>
      </c>
      <c r="L28" s="401">
        <f t="shared" si="7"/>
        <v>34373894</v>
      </c>
      <c r="M28" s="401">
        <f t="shared" si="7"/>
        <v>34373994</v>
      </c>
      <c r="N28" s="401">
        <f>N10+N19+N24+N27</f>
        <v>0</v>
      </c>
      <c r="O28" s="401">
        <f>O10+O19+O24+O27</f>
        <v>0</v>
      </c>
      <c r="P28" s="401">
        <f t="shared" si="7"/>
        <v>0</v>
      </c>
      <c r="Q28" s="401">
        <f t="shared" si="7"/>
        <v>0</v>
      </c>
      <c r="R28" s="331" t="e">
        <f>Q28/P28</f>
        <v>#DIV/0!</v>
      </c>
      <c r="S28" s="401"/>
      <c r="T28" s="180"/>
      <c r="U28" s="119"/>
      <c r="V28" s="119"/>
      <c r="W28" s="119"/>
    </row>
    <row r="29" spans="1:23" s="126" customFormat="1" ht="12" customHeight="1" thickBot="1">
      <c r="A29" s="141" t="s">
        <v>11</v>
      </c>
      <c r="B29" s="142"/>
      <c r="C29" s="437" t="s">
        <v>259</v>
      </c>
      <c r="D29" s="407">
        <f aca="true" t="shared" si="8" ref="D29:I29">SUM(D30:D32)</f>
        <v>133795618</v>
      </c>
      <c r="E29" s="407">
        <f>SUM(E30:E32)</f>
        <v>133795618</v>
      </c>
      <c r="F29" s="407">
        <f>SUM(F30:F32)</f>
        <v>0</v>
      </c>
      <c r="G29" s="407">
        <f>SUM(G30:G32)</f>
        <v>0</v>
      </c>
      <c r="H29" s="407">
        <f t="shared" si="8"/>
        <v>0</v>
      </c>
      <c r="I29" s="407">
        <f t="shared" si="8"/>
        <v>0</v>
      </c>
      <c r="J29" s="331" t="e">
        <f>I29/H29</f>
        <v>#DIV/0!</v>
      </c>
      <c r="K29" s="239">
        <f aca="true" t="shared" si="9" ref="K29:Q29">SUM(K30:K32)</f>
        <v>0</v>
      </c>
      <c r="L29" s="407">
        <f t="shared" si="9"/>
        <v>133795618</v>
      </c>
      <c r="M29" s="407">
        <f t="shared" si="9"/>
        <v>133795618</v>
      </c>
      <c r="N29" s="407">
        <f>SUM(N30:N32)</f>
        <v>0</v>
      </c>
      <c r="O29" s="407">
        <f>SUM(O30:O32)</f>
        <v>0</v>
      </c>
      <c r="P29" s="407">
        <f t="shared" si="9"/>
        <v>0</v>
      </c>
      <c r="Q29" s="407">
        <f t="shared" si="9"/>
        <v>0</v>
      </c>
      <c r="R29" s="331" t="e">
        <f>Q29/P29</f>
        <v>#DIV/0!</v>
      </c>
      <c r="S29" s="401"/>
      <c r="T29" s="180"/>
      <c r="U29" s="119"/>
      <c r="V29" s="119"/>
      <c r="W29" s="119"/>
    </row>
    <row r="30" spans="1:23" s="126" customFormat="1" ht="15" customHeight="1" thickBot="1">
      <c r="A30" s="121"/>
      <c r="B30" s="144" t="s">
        <v>42</v>
      </c>
      <c r="C30" s="435" t="s">
        <v>127</v>
      </c>
      <c r="D30" s="912">
        <v>2283262</v>
      </c>
      <c r="E30" s="912">
        <v>2283262</v>
      </c>
      <c r="F30" s="1089"/>
      <c r="G30" s="1089"/>
      <c r="H30" s="1089"/>
      <c r="I30" s="1089"/>
      <c r="J30" s="667"/>
      <c r="K30" s="1090"/>
      <c r="L30" s="912">
        <v>2283262</v>
      </c>
      <c r="M30" s="912">
        <v>2283262</v>
      </c>
      <c r="N30" s="404"/>
      <c r="O30" s="404"/>
      <c r="P30" s="404"/>
      <c r="Q30" s="404"/>
      <c r="R30" s="695" t="e">
        <f>Q30/P30</f>
        <v>#DIV/0!</v>
      </c>
      <c r="S30" s="410"/>
      <c r="T30" s="411"/>
      <c r="U30" s="240"/>
      <c r="V30" s="240"/>
      <c r="W30" s="240"/>
    </row>
    <row r="31" spans="1:23" s="126" customFormat="1" ht="15" customHeight="1">
      <c r="A31" s="535"/>
      <c r="B31" s="536" t="s">
        <v>43</v>
      </c>
      <c r="C31" s="435" t="s">
        <v>428</v>
      </c>
      <c r="D31" s="404">
        <v>131512356</v>
      </c>
      <c r="E31" s="404">
        <v>131512356</v>
      </c>
      <c r="F31" s="404"/>
      <c r="G31" s="404"/>
      <c r="H31" s="404"/>
      <c r="I31" s="404"/>
      <c r="J31" s="664"/>
      <c r="K31" s="698"/>
      <c r="L31" s="404">
        <v>131512356</v>
      </c>
      <c r="M31" s="404">
        <v>131512356</v>
      </c>
      <c r="N31" s="537"/>
      <c r="O31" s="537"/>
      <c r="P31" s="537"/>
      <c r="Q31" s="537"/>
      <c r="R31" s="695" t="e">
        <f>Q31/P31</f>
        <v>#DIV/0!</v>
      </c>
      <c r="S31" s="539"/>
      <c r="T31" s="540"/>
      <c r="U31" s="541"/>
      <c r="V31" s="541"/>
      <c r="W31" s="541"/>
    </row>
    <row r="32" spans="1:23" s="126" customFormat="1" ht="15" customHeight="1" thickBot="1">
      <c r="A32" s="145"/>
      <c r="B32" s="146" t="s">
        <v>68</v>
      </c>
      <c r="C32" s="438" t="s">
        <v>129</v>
      </c>
      <c r="D32" s="408"/>
      <c r="E32" s="408"/>
      <c r="F32" s="408"/>
      <c r="G32" s="408"/>
      <c r="H32" s="408"/>
      <c r="I32" s="408"/>
      <c r="J32" s="667"/>
      <c r="K32" s="700"/>
      <c r="L32" s="408"/>
      <c r="M32" s="408"/>
      <c r="N32" s="408"/>
      <c r="O32" s="408"/>
      <c r="P32" s="408"/>
      <c r="Q32" s="408"/>
      <c r="R32" s="667"/>
      <c r="S32" s="408"/>
      <c r="T32" s="186"/>
      <c r="U32" s="148"/>
      <c r="V32" s="148"/>
      <c r="W32" s="148"/>
    </row>
    <row r="33" spans="1:23" ht="13.5" thickBot="1">
      <c r="A33" s="149" t="s">
        <v>12</v>
      </c>
      <c r="B33" s="268"/>
      <c r="C33" s="416" t="s">
        <v>130</v>
      </c>
      <c r="D33" s="406"/>
      <c r="E33" s="406"/>
      <c r="F33" s="406"/>
      <c r="G33" s="406"/>
      <c r="H33" s="406"/>
      <c r="I33" s="406"/>
      <c r="J33" s="666"/>
      <c r="K33" s="235"/>
      <c r="L33" s="406"/>
      <c r="M33" s="406"/>
      <c r="N33" s="406"/>
      <c r="O33" s="406"/>
      <c r="P33" s="406"/>
      <c r="Q33" s="406"/>
      <c r="R33" s="666"/>
      <c r="S33" s="406"/>
      <c r="T33" s="184"/>
      <c r="U33" s="139"/>
      <c r="V33" s="139"/>
      <c r="W33" s="139"/>
    </row>
    <row r="34" spans="1:23" s="114" customFormat="1" ht="16.5" customHeight="1" thickBot="1">
      <c r="A34" s="149">
        <v>7</v>
      </c>
      <c r="B34" s="269"/>
      <c r="C34" s="439" t="s">
        <v>260</v>
      </c>
      <c r="D34" s="409">
        <f aca="true" t="shared" si="10" ref="D34:I34">D28+D33+D29</f>
        <v>168169512</v>
      </c>
      <c r="E34" s="409">
        <f>E28+E33+E29</f>
        <v>168169612</v>
      </c>
      <c r="F34" s="409">
        <f>F28+F33+F29</f>
        <v>0</v>
      </c>
      <c r="G34" s="409">
        <f>G28+G33+G29</f>
        <v>0</v>
      </c>
      <c r="H34" s="409">
        <f t="shared" si="10"/>
        <v>0</v>
      </c>
      <c r="I34" s="409">
        <f t="shared" si="10"/>
        <v>0</v>
      </c>
      <c r="J34" s="331" t="e">
        <f>I34/H34</f>
        <v>#DIV/0!</v>
      </c>
      <c r="K34" s="241">
        <f aca="true" t="shared" si="11" ref="K34:Q34">K28+K33+K29</f>
        <v>0</v>
      </c>
      <c r="L34" s="409">
        <f t="shared" si="11"/>
        <v>168169512</v>
      </c>
      <c r="M34" s="409">
        <f t="shared" si="11"/>
        <v>168169612</v>
      </c>
      <c r="N34" s="409">
        <f>N28+N33+N29</f>
        <v>0</v>
      </c>
      <c r="O34" s="409">
        <f>O28+O33+O29</f>
        <v>0</v>
      </c>
      <c r="P34" s="409">
        <f t="shared" si="11"/>
        <v>0</v>
      </c>
      <c r="Q34" s="409">
        <f t="shared" si="11"/>
        <v>0</v>
      </c>
      <c r="R34" s="331" t="e">
        <f>Q34/P34</f>
        <v>#DIV/0!</v>
      </c>
      <c r="S34" s="409"/>
      <c r="T34" s="187"/>
      <c r="U34" s="172"/>
      <c r="V34" s="172"/>
      <c r="W34" s="172"/>
    </row>
    <row r="35" spans="1:23" s="158" customFormat="1" ht="12" customHeight="1">
      <c r="A35" s="155"/>
      <c r="B35" s="155"/>
      <c r="C35" s="156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</row>
    <row r="36" spans="1:23" ht="12" customHeight="1" thickBot="1">
      <c r="A36" s="159"/>
      <c r="B36" s="160"/>
      <c r="C36" s="160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</row>
    <row r="37" spans="1:23" ht="12" customHeight="1" thickBot="1">
      <c r="A37" s="162"/>
      <c r="B37" s="163"/>
      <c r="C37" s="164" t="s">
        <v>132</v>
      </c>
      <c r="D37" s="409"/>
      <c r="E37" s="409"/>
      <c r="F37" s="409"/>
      <c r="G37" s="409"/>
      <c r="H37" s="187"/>
      <c r="I37" s="187"/>
      <c r="J37" s="187"/>
      <c r="K37" s="172"/>
      <c r="L37" s="409"/>
      <c r="M37" s="409"/>
      <c r="N37" s="409"/>
      <c r="O37" s="409"/>
      <c r="P37" s="187"/>
      <c r="Q37" s="187"/>
      <c r="R37" s="172"/>
      <c r="S37" s="409"/>
      <c r="T37" s="187"/>
      <c r="U37" s="172"/>
      <c r="V37" s="172"/>
      <c r="W37" s="172"/>
    </row>
    <row r="38" spans="1:23" ht="12" customHeight="1" thickBot="1">
      <c r="A38" s="129" t="s">
        <v>26</v>
      </c>
      <c r="B38" s="165"/>
      <c r="C38" s="412" t="s">
        <v>133</v>
      </c>
      <c r="D38" s="401">
        <f aca="true" t="shared" si="12" ref="D38:I38">SUM(D39:D43)</f>
        <v>166074212</v>
      </c>
      <c r="E38" s="401">
        <f>SUM(E39:E43)</f>
        <v>166074312</v>
      </c>
      <c r="F38" s="401">
        <f>SUM(F39:F43)</f>
        <v>0</v>
      </c>
      <c r="G38" s="401">
        <f>SUM(G39:G43)</f>
        <v>0</v>
      </c>
      <c r="H38" s="401">
        <f t="shared" si="12"/>
        <v>0</v>
      </c>
      <c r="I38" s="401">
        <f t="shared" si="12"/>
        <v>0</v>
      </c>
      <c r="J38" s="331" t="e">
        <f>I38/H38</f>
        <v>#DIV/0!</v>
      </c>
      <c r="K38" s="395">
        <f aca="true" t="shared" si="13" ref="K38:Q38">SUM(K39:K43)</f>
        <v>0</v>
      </c>
      <c r="L38" s="401">
        <f t="shared" si="13"/>
        <v>166074212</v>
      </c>
      <c r="M38" s="401">
        <f t="shared" si="13"/>
        <v>166074312</v>
      </c>
      <c r="N38" s="401">
        <f t="shared" si="13"/>
        <v>0</v>
      </c>
      <c r="O38" s="401">
        <f>SUM(O39:O43)</f>
        <v>0</v>
      </c>
      <c r="P38" s="401">
        <f t="shared" si="13"/>
        <v>0</v>
      </c>
      <c r="Q38" s="401">
        <f t="shared" si="13"/>
        <v>0</v>
      </c>
      <c r="R38" s="331" t="e">
        <f>Q38/P38</f>
        <v>#DIV/0!</v>
      </c>
      <c r="S38" s="401"/>
      <c r="T38" s="180"/>
      <c r="U38" s="119"/>
      <c r="V38" s="119"/>
      <c r="W38" s="119"/>
    </row>
    <row r="39" spans="1:23" ht="12" customHeight="1">
      <c r="A39" s="166"/>
      <c r="B39" s="167" t="s">
        <v>107</v>
      </c>
      <c r="C39" s="413" t="s">
        <v>134</v>
      </c>
      <c r="D39" s="419">
        <v>92551869</v>
      </c>
      <c r="E39" s="419">
        <v>92551869</v>
      </c>
      <c r="F39" s="419"/>
      <c r="G39" s="419"/>
      <c r="H39" s="419"/>
      <c r="I39" s="188"/>
      <c r="J39" s="664"/>
      <c r="K39" s="693"/>
      <c r="L39" s="419">
        <v>92551869</v>
      </c>
      <c r="M39" s="419">
        <v>92551869</v>
      </c>
      <c r="N39" s="419"/>
      <c r="O39" s="419"/>
      <c r="P39" s="419"/>
      <c r="Q39" s="188"/>
      <c r="R39" s="664" t="e">
        <f>Q39/P39</f>
        <v>#DIV/0!</v>
      </c>
      <c r="S39" s="403"/>
      <c r="T39" s="181"/>
      <c r="U39" s="125"/>
      <c r="V39" s="125"/>
      <c r="W39" s="125"/>
    </row>
    <row r="40" spans="1:23" ht="12" customHeight="1">
      <c r="A40" s="168"/>
      <c r="B40" s="169" t="s">
        <v>108</v>
      </c>
      <c r="C40" s="414" t="s">
        <v>49</v>
      </c>
      <c r="D40" s="420">
        <v>15946457</v>
      </c>
      <c r="E40" s="420">
        <v>15946457</v>
      </c>
      <c r="F40" s="420"/>
      <c r="G40" s="420"/>
      <c r="H40" s="420"/>
      <c r="I40" s="189"/>
      <c r="J40" s="695"/>
      <c r="K40" s="427"/>
      <c r="L40" s="420">
        <v>15946457</v>
      </c>
      <c r="M40" s="420">
        <v>15946457</v>
      </c>
      <c r="N40" s="420"/>
      <c r="O40" s="420"/>
      <c r="P40" s="420"/>
      <c r="Q40" s="189"/>
      <c r="R40" s="695" t="e">
        <f>Q40/P40</f>
        <v>#DIV/0!</v>
      </c>
      <c r="S40" s="403"/>
      <c r="T40" s="181"/>
      <c r="U40" s="125"/>
      <c r="V40" s="125"/>
      <c r="W40" s="125"/>
    </row>
    <row r="41" spans="1:23" ht="12" customHeight="1">
      <c r="A41" s="168"/>
      <c r="B41" s="169" t="s">
        <v>109</v>
      </c>
      <c r="C41" s="414" t="s">
        <v>135</v>
      </c>
      <c r="D41" s="420">
        <v>57575886</v>
      </c>
      <c r="E41" s="420">
        <v>57575986</v>
      </c>
      <c r="F41" s="420"/>
      <c r="G41" s="420"/>
      <c r="H41" s="420"/>
      <c r="I41" s="189"/>
      <c r="J41" s="695"/>
      <c r="K41" s="427"/>
      <c r="L41" s="420">
        <v>57575886</v>
      </c>
      <c r="M41" s="420">
        <v>57575986</v>
      </c>
      <c r="N41" s="420"/>
      <c r="O41" s="420"/>
      <c r="P41" s="420"/>
      <c r="Q41" s="189"/>
      <c r="R41" s="695" t="e">
        <f>Q41/P41</f>
        <v>#DIV/0!</v>
      </c>
      <c r="S41" s="403"/>
      <c r="T41" s="181"/>
      <c r="U41" s="125"/>
      <c r="V41" s="125"/>
      <c r="W41" s="125"/>
    </row>
    <row r="42" spans="1:23" s="158" customFormat="1" ht="12" customHeight="1">
      <c r="A42" s="168"/>
      <c r="B42" s="169" t="s">
        <v>110</v>
      </c>
      <c r="C42" s="414" t="s">
        <v>78</v>
      </c>
      <c r="D42" s="420"/>
      <c r="E42" s="420"/>
      <c r="F42" s="420"/>
      <c r="G42" s="420"/>
      <c r="H42" s="420"/>
      <c r="I42" s="189"/>
      <c r="J42" s="189"/>
      <c r="K42" s="427"/>
      <c r="L42" s="420"/>
      <c r="M42" s="420"/>
      <c r="N42" s="420"/>
      <c r="O42" s="420"/>
      <c r="P42" s="420"/>
      <c r="Q42" s="189"/>
      <c r="R42" s="189"/>
      <c r="S42" s="403"/>
      <c r="T42" s="181"/>
      <c r="U42" s="125"/>
      <c r="V42" s="125"/>
      <c r="W42" s="125"/>
    </row>
    <row r="43" spans="1:23" ht="12" customHeight="1" thickBot="1">
      <c r="A43" s="168"/>
      <c r="B43" s="169" t="s">
        <v>48</v>
      </c>
      <c r="C43" s="414" t="s">
        <v>80</v>
      </c>
      <c r="D43" s="420"/>
      <c r="E43" s="420"/>
      <c r="F43" s="420"/>
      <c r="G43" s="420"/>
      <c r="H43" s="420"/>
      <c r="I43" s="189"/>
      <c r="J43" s="695"/>
      <c r="K43" s="427"/>
      <c r="L43" s="420"/>
      <c r="M43" s="420"/>
      <c r="N43" s="420"/>
      <c r="O43" s="420"/>
      <c r="P43" s="420"/>
      <c r="Q43" s="189"/>
      <c r="R43" s="695" t="e">
        <f>P43/O43</f>
        <v>#DIV/0!</v>
      </c>
      <c r="S43" s="420"/>
      <c r="T43" s="189"/>
      <c r="U43" s="170"/>
      <c r="V43" s="170"/>
      <c r="W43" s="170"/>
    </row>
    <row r="44" spans="1:23" ht="12" customHeight="1" thickBot="1">
      <c r="A44" s="129" t="s">
        <v>27</v>
      </c>
      <c r="B44" s="165"/>
      <c r="C44" s="412" t="s">
        <v>136</v>
      </c>
      <c r="D44" s="401">
        <f aca="true" t="shared" si="14" ref="D44:I44">SUM(D45:D49)</f>
        <v>2095300</v>
      </c>
      <c r="E44" s="401">
        <f>SUM(E45:E49)</f>
        <v>2095300</v>
      </c>
      <c r="F44" s="401">
        <f>SUM(F45:F49)</f>
        <v>0</v>
      </c>
      <c r="G44" s="401">
        <f>SUM(G45:G49)</f>
        <v>0</v>
      </c>
      <c r="H44" s="401">
        <f t="shared" si="14"/>
        <v>0</v>
      </c>
      <c r="I44" s="401">
        <f t="shared" si="14"/>
        <v>0</v>
      </c>
      <c r="J44" s="331" t="e">
        <f>I44/H44</f>
        <v>#DIV/0!</v>
      </c>
      <c r="K44" s="395">
        <f aca="true" t="shared" si="15" ref="K44:Q44">SUM(K45:K49)</f>
        <v>0</v>
      </c>
      <c r="L44" s="401">
        <f t="shared" si="15"/>
        <v>2095300</v>
      </c>
      <c r="M44" s="401">
        <f t="shared" si="15"/>
        <v>2095300</v>
      </c>
      <c r="N44" s="401">
        <f>SUM(N45:N49)</f>
        <v>0</v>
      </c>
      <c r="O44" s="401">
        <f>SUM(O45:O49)</f>
        <v>0</v>
      </c>
      <c r="P44" s="401">
        <f t="shared" si="15"/>
        <v>0</v>
      </c>
      <c r="Q44" s="401">
        <f t="shared" si="15"/>
        <v>0</v>
      </c>
      <c r="R44" s="331" t="e">
        <f>Q44/P44</f>
        <v>#DIV/0!</v>
      </c>
      <c r="S44" s="401"/>
      <c r="T44" s="180"/>
      <c r="U44" s="119"/>
      <c r="V44" s="119"/>
      <c r="W44" s="119"/>
    </row>
    <row r="45" spans="1:23" ht="12" customHeight="1">
      <c r="A45" s="166"/>
      <c r="B45" s="167" t="s">
        <v>137</v>
      </c>
      <c r="C45" s="413" t="s">
        <v>90</v>
      </c>
      <c r="D45" s="419">
        <v>2095300</v>
      </c>
      <c r="E45" s="419">
        <v>2095300</v>
      </c>
      <c r="F45" s="419"/>
      <c r="G45" s="419"/>
      <c r="H45" s="419"/>
      <c r="I45" s="188"/>
      <c r="J45" s="664"/>
      <c r="K45" s="693"/>
      <c r="L45" s="419">
        <v>2095300</v>
      </c>
      <c r="M45" s="419">
        <v>2095300</v>
      </c>
      <c r="N45" s="419"/>
      <c r="O45" s="419"/>
      <c r="P45" s="419"/>
      <c r="Q45" s="188"/>
      <c r="R45" s="664" t="e">
        <f>Q45/P45</f>
        <v>#DIV/0!</v>
      </c>
      <c r="S45" s="403"/>
      <c r="T45" s="181"/>
      <c r="U45" s="125"/>
      <c r="V45" s="125"/>
      <c r="W45" s="125"/>
    </row>
    <row r="46" spans="1:23" ht="12" customHeight="1">
      <c r="A46" s="166"/>
      <c r="B46" s="167"/>
      <c r="C46" s="413" t="s">
        <v>332</v>
      </c>
      <c r="D46" s="419"/>
      <c r="E46" s="419"/>
      <c r="F46" s="419"/>
      <c r="G46" s="419"/>
      <c r="H46" s="419"/>
      <c r="I46" s="188"/>
      <c r="J46" s="188"/>
      <c r="K46" s="693"/>
      <c r="L46" s="419"/>
      <c r="M46" s="419"/>
      <c r="N46" s="419"/>
      <c r="O46" s="419"/>
      <c r="P46" s="419"/>
      <c r="Q46" s="188"/>
      <c r="R46" s="188"/>
      <c r="S46" s="403"/>
      <c r="T46" s="181"/>
      <c r="U46" s="125"/>
      <c r="V46" s="125"/>
      <c r="W46" s="125"/>
    </row>
    <row r="47" spans="1:23" ht="12" customHeight="1">
      <c r="A47" s="168"/>
      <c r="B47" s="169" t="s">
        <v>138</v>
      </c>
      <c r="C47" s="414" t="s">
        <v>91</v>
      </c>
      <c r="D47" s="420"/>
      <c r="E47" s="420"/>
      <c r="F47" s="420"/>
      <c r="G47" s="420"/>
      <c r="H47" s="420"/>
      <c r="I47" s="189"/>
      <c r="J47" s="189"/>
      <c r="K47" s="427"/>
      <c r="L47" s="420"/>
      <c r="M47" s="420"/>
      <c r="N47" s="420"/>
      <c r="O47" s="420"/>
      <c r="P47" s="420"/>
      <c r="Q47" s="189"/>
      <c r="R47" s="189"/>
      <c r="S47" s="420"/>
      <c r="T47" s="189"/>
      <c r="U47" s="170"/>
      <c r="V47" s="170"/>
      <c r="W47" s="170"/>
    </row>
    <row r="48" spans="1:23" ht="15" customHeight="1">
      <c r="A48" s="168"/>
      <c r="B48" s="169" t="s">
        <v>39</v>
      </c>
      <c r="C48" s="414" t="s">
        <v>140</v>
      </c>
      <c r="D48" s="420"/>
      <c r="E48" s="420"/>
      <c r="F48" s="420"/>
      <c r="G48" s="420"/>
      <c r="H48" s="420"/>
      <c r="I48" s="189"/>
      <c r="J48" s="189"/>
      <c r="K48" s="427"/>
      <c r="L48" s="420"/>
      <c r="M48" s="420"/>
      <c r="N48" s="420"/>
      <c r="O48" s="420"/>
      <c r="P48" s="420"/>
      <c r="Q48" s="189"/>
      <c r="R48" s="189"/>
      <c r="S48" s="420"/>
      <c r="T48" s="189"/>
      <c r="U48" s="170"/>
      <c r="V48" s="170"/>
      <c r="W48" s="170"/>
    </row>
    <row r="49" spans="1:23" ht="13.5" thickBot="1">
      <c r="A49" s="168"/>
      <c r="B49" s="169" t="s">
        <v>257</v>
      </c>
      <c r="C49" s="414" t="s">
        <v>142</v>
      </c>
      <c r="D49" s="420"/>
      <c r="E49" s="420"/>
      <c r="F49" s="420"/>
      <c r="G49" s="420"/>
      <c r="H49" s="420"/>
      <c r="I49" s="189"/>
      <c r="J49" s="189"/>
      <c r="K49" s="427"/>
      <c r="L49" s="420"/>
      <c r="M49" s="420"/>
      <c r="N49" s="420"/>
      <c r="O49" s="420"/>
      <c r="P49" s="420"/>
      <c r="Q49" s="189"/>
      <c r="R49" s="189"/>
      <c r="S49" s="420"/>
      <c r="T49" s="189"/>
      <c r="U49" s="170"/>
      <c r="V49" s="170"/>
      <c r="W49" s="170"/>
    </row>
    <row r="50" spans="1:23" ht="15" customHeight="1" thickBot="1">
      <c r="A50" s="129" t="s">
        <v>9</v>
      </c>
      <c r="B50" s="165"/>
      <c r="C50" s="415" t="s">
        <v>143</v>
      </c>
      <c r="D50" s="406"/>
      <c r="E50" s="406"/>
      <c r="F50" s="406"/>
      <c r="G50" s="406"/>
      <c r="H50" s="406"/>
      <c r="I50" s="184"/>
      <c r="J50" s="184"/>
      <c r="K50" s="396"/>
      <c r="L50" s="406"/>
      <c r="M50" s="406"/>
      <c r="N50" s="406"/>
      <c r="O50" s="406"/>
      <c r="P50" s="406"/>
      <c r="Q50" s="184"/>
      <c r="R50" s="184"/>
      <c r="S50" s="406"/>
      <c r="T50" s="184"/>
      <c r="U50" s="139"/>
      <c r="V50" s="139"/>
      <c r="W50" s="139"/>
    </row>
    <row r="51" spans="1:23" ht="14.25" customHeight="1" thickBot="1">
      <c r="A51" s="149" t="s">
        <v>10</v>
      </c>
      <c r="B51" s="268"/>
      <c r="C51" s="416" t="s">
        <v>144</v>
      </c>
      <c r="D51" s="406"/>
      <c r="E51" s="406"/>
      <c r="F51" s="406"/>
      <c r="G51" s="406"/>
      <c r="H51" s="406"/>
      <c r="I51" s="184"/>
      <c r="J51" s="184"/>
      <c r="K51" s="396"/>
      <c r="L51" s="406"/>
      <c r="M51" s="406"/>
      <c r="N51" s="406"/>
      <c r="O51" s="406"/>
      <c r="P51" s="406"/>
      <c r="Q51" s="184"/>
      <c r="R51" s="184"/>
      <c r="S51" s="406"/>
      <c r="T51" s="184"/>
      <c r="U51" s="139"/>
      <c r="V51" s="139"/>
      <c r="W51" s="139"/>
    </row>
    <row r="52" spans="1:23" ht="13.5" thickBot="1">
      <c r="A52" s="129">
        <v>5</v>
      </c>
      <c r="B52" s="171"/>
      <c r="C52" s="417" t="s">
        <v>261</v>
      </c>
      <c r="D52" s="409">
        <f aca="true" t="shared" si="16" ref="D52:I52">D38+D44+D50+D51</f>
        <v>168169512</v>
      </c>
      <c r="E52" s="409">
        <f>E38+E44+E50+E51</f>
        <v>168169612</v>
      </c>
      <c r="F52" s="409">
        <f>F38+F44+F50+F51</f>
        <v>0</v>
      </c>
      <c r="G52" s="409">
        <f>G38+G44+G50+G51</f>
        <v>0</v>
      </c>
      <c r="H52" s="409">
        <f t="shared" si="16"/>
        <v>0</v>
      </c>
      <c r="I52" s="409">
        <f t="shared" si="16"/>
        <v>0</v>
      </c>
      <c r="J52" s="331" t="e">
        <f>I52/H52</f>
        <v>#DIV/0!</v>
      </c>
      <c r="K52" s="154">
        <f aca="true" t="shared" si="17" ref="K52:Q52">K38+K44+K50+K51</f>
        <v>0</v>
      </c>
      <c r="L52" s="409">
        <f t="shared" si="17"/>
        <v>168169512</v>
      </c>
      <c r="M52" s="409">
        <f t="shared" si="17"/>
        <v>168169612</v>
      </c>
      <c r="N52" s="409">
        <f t="shared" si="17"/>
        <v>0</v>
      </c>
      <c r="O52" s="409">
        <f>O38+O44+O50+O51</f>
        <v>0</v>
      </c>
      <c r="P52" s="409">
        <f t="shared" si="17"/>
        <v>0</v>
      </c>
      <c r="Q52" s="409">
        <f t="shared" si="17"/>
        <v>0</v>
      </c>
      <c r="R52" s="331" t="e">
        <f>Q52/P52</f>
        <v>#DIV/0!</v>
      </c>
      <c r="S52" s="409"/>
      <c r="T52" s="187"/>
      <c r="U52" s="172"/>
      <c r="V52" s="172"/>
      <c r="W52" s="172"/>
    </row>
    <row r="53" spans="1:23" ht="13.5" thickBot="1">
      <c r="A53" s="270"/>
      <c r="B53" s="271"/>
      <c r="C53" s="271"/>
      <c r="D53" s="448"/>
      <c r="E53" s="448"/>
      <c r="F53" s="448"/>
      <c r="G53" s="448"/>
      <c r="H53" s="448"/>
      <c r="I53" s="449"/>
      <c r="J53" s="449"/>
      <c r="K53" s="701"/>
      <c r="L53" s="448"/>
      <c r="M53" s="448"/>
      <c r="N53" s="448"/>
      <c r="O53" s="448"/>
      <c r="P53" s="448"/>
      <c r="Q53" s="449"/>
      <c r="R53" s="449"/>
      <c r="S53" s="448"/>
      <c r="T53" s="449"/>
      <c r="U53" s="450"/>
      <c r="V53" s="450"/>
      <c r="W53" s="450"/>
    </row>
    <row r="54" spans="1:23" ht="13.5" thickBot="1">
      <c r="A54" s="175" t="s">
        <v>146</v>
      </c>
      <c r="B54" s="176"/>
      <c r="C54" s="418"/>
      <c r="D54" s="432">
        <v>26</v>
      </c>
      <c r="E54" s="432">
        <v>26</v>
      </c>
      <c r="F54" s="432">
        <v>26</v>
      </c>
      <c r="G54" s="432">
        <v>26</v>
      </c>
      <c r="H54" s="432">
        <v>22</v>
      </c>
      <c r="I54" s="192">
        <v>22</v>
      </c>
      <c r="J54" s="331">
        <f>I54/H54</f>
        <v>1</v>
      </c>
      <c r="K54" s="191"/>
      <c r="L54" s="432">
        <v>26</v>
      </c>
      <c r="M54" s="432">
        <v>26</v>
      </c>
      <c r="N54" s="432">
        <v>26</v>
      </c>
      <c r="O54" s="1044">
        <v>26</v>
      </c>
      <c r="P54" s="432">
        <v>22</v>
      </c>
      <c r="Q54" s="192">
        <v>22</v>
      </c>
      <c r="R54" s="331">
        <f>Q54/P54</f>
        <v>1</v>
      </c>
      <c r="S54" s="432"/>
      <c r="T54" s="192"/>
      <c r="U54" s="421"/>
      <c r="V54" s="421"/>
      <c r="W54" s="421"/>
    </row>
    <row r="55" spans="1:23" ht="13.5" thickBot="1">
      <c r="A55" s="175" t="s">
        <v>147</v>
      </c>
      <c r="B55" s="176"/>
      <c r="C55" s="418"/>
      <c r="D55" s="432">
        <v>0</v>
      </c>
      <c r="E55" s="432">
        <v>0</v>
      </c>
      <c r="F55" s="432">
        <v>0</v>
      </c>
      <c r="G55" s="1044">
        <v>0</v>
      </c>
      <c r="H55" s="432">
        <v>0</v>
      </c>
      <c r="I55" s="192">
        <v>0</v>
      </c>
      <c r="J55" s="331"/>
      <c r="K55" s="191"/>
      <c r="L55" s="432">
        <v>0</v>
      </c>
      <c r="M55" s="432">
        <v>0</v>
      </c>
      <c r="N55" s="432">
        <v>0</v>
      </c>
      <c r="O55" s="1044">
        <v>0</v>
      </c>
      <c r="P55" s="432">
        <v>0</v>
      </c>
      <c r="Q55" s="192">
        <v>0</v>
      </c>
      <c r="R55" s="331"/>
      <c r="S55" s="432"/>
      <c r="T55" s="192"/>
      <c r="U55" s="421"/>
      <c r="V55" s="421"/>
      <c r="W55" s="421"/>
    </row>
    <row r="56" spans="6:11" ht="12.75">
      <c r="F56" s="274"/>
      <c r="G56" s="274"/>
      <c r="H56" s="274"/>
      <c r="I56" s="274"/>
      <c r="J56" s="274"/>
      <c r="K56" s="274"/>
    </row>
    <row r="57" spans="1:11" ht="12.75">
      <c r="A57" s="1286" t="s">
        <v>148</v>
      </c>
      <c r="B57" s="1286"/>
      <c r="C57" s="1286"/>
      <c r="D57" s="1286"/>
      <c r="E57" s="256"/>
      <c r="F57" s="654"/>
      <c r="G57" s="654"/>
      <c r="H57" s="654"/>
      <c r="I57" s="654"/>
      <c r="J57" s="256"/>
      <c r="K57" s="256"/>
    </row>
    <row r="58" spans="1:3" ht="12.75">
      <c r="A58" s="1286"/>
      <c r="B58" s="1286"/>
      <c r="C58" s="1286"/>
    </row>
    <row r="59" spans="4:11" ht="12.75">
      <c r="D59" s="274">
        <v>0</v>
      </c>
      <c r="E59" s="274"/>
      <c r="F59" s="274"/>
      <c r="G59" s="274"/>
      <c r="H59" s="274"/>
      <c r="I59" s="274"/>
      <c r="J59" s="274"/>
      <c r="K59" s="274"/>
    </row>
  </sheetData>
  <sheetProtection/>
  <mergeCells count="8">
    <mergeCell ref="L1:V1"/>
    <mergeCell ref="S6:W6"/>
    <mergeCell ref="A4:S4"/>
    <mergeCell ref="A58:C58"/>
    <mergeCell ref="A57:D57"/>
    <mergeCell ref="A7:B7"/>
    <mergeCell ref="D6:K6"/>
    <mergeCell ref="L6:R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view="pageLayout" zoomScaleNormal="70" workbookViewId="0" topLeftCell="C1">
      <selection activeCell="L3" sqref="L3:R3"/>
    </sheetView>
  </sheetViews>
  <sheetFormatPr defaultColWidth="9.140625" defaultRowHeight="12.75"/>
  <cols>
    <col min="1" max="1" width="9.140625" style="991" customWidth="1"/>
    <col min="2" max="2" width="54.28125" style="991" customWidth="1"/>
    <col min="3" max="3" width="5.57421875" style="1009" customWidth="1"/>
    <col min="4" max="4" width="17.421875" style="1007" customWidth="1"/>
    <col min="5" max="5" width="18.57421875" style="1007" customWidth="1"/>
    <col min="6" max="6" width="18.57421875" style="1007" hidden="1" customWidth="1"/>
    <col min="7" max="7" width="15.7109375" style="1007" hidden="1" customWidth="1"/>
    <col min="8" max="9" width="14.140625" style="1007" hidden="1" customWidth="1"/>
    <col min="10" max="11" width="20.8515625" style="1007" hidden="1" customWidth="1"/>
    <col min="12" max="12" width="20.28125" style="991" customWidth="1"/>
    <col min="13" max="13" width="15.28125" style="991" customWidth="1"/>
    <col min="14" max="18" width="15.28125" style="991" hidden="1" customWidth="1"/>
    <col min="19" max="19" width="18.28125" style="991" customWidth="1"/>
    <col min="20" max="20" width="13.28125" style="991" customWidth="1"/>
    <col min="21" max="21" width="14.7109375" style="991" hidden="1" customWidth="1"/>
    <col min="22" max="22" width="17.421875" style="991" hidden="1" customWidth="1"/>
    <col min="23" max="23" width="14.8515625" style="991" hidden="1" customWidth="1"/>
    <col min="24" max="24" width="17.00390625" style="991" hidden="1" customWidth="1"/>
    <col min="25" max="25" width="3.8515625" style="991" hidden="1" customWidth="1"/>
    <col min="26" max="26" width="17.140625" style="991" customWidth="1"/>
    <col min="27" max="16384" width="9.140625" style="991" customWidth="1"/>
  </cols>
  <sheetData>
    <row r="1" spans="1:20" ht="15.75" customHeight="1">
      <c r="A1" s="1304" t="s">
        <v>56</v>
      </c>
      <c r="B1" s="1304"/>
      <c r="C1" s="1304"/>
      <c r="D1" s="1304"/>
      <c r="E1" s="1304"/>
      <c r="F1" s="1304"/>
      <c r="G1" s="1304"/>
      <c r="H1" s="1304"/>
      <c r="I1" s="1304"/>
      <c r="J1" s="1304"/>
      <c r="K1" s="1304"/>
      <c r="L1" s="1304"/>
      <c r="M1" s="1304"/>
      <c r="N1" s="1304"/>
      <c r="O1" s="1304"/>
      <c r="P1" s="1304"/>
      <c r="Q1" s="1304"/>
      <c r="R1" s="1304"/>
      <c r="S1" s="1304"/>
      <c r="T1" s="1304"/>
    </row>
    <row r="2" spans="1:20" ht="16.5" thickBot="1">
      <c r="A2" s="992"/>
      <c r="B2" s="990"/>
      <c r="C2" s="990"/>
      <c r="D2" s="993"/>
      <c r="E2" s="993"/>
      <c r="F2" s="993"/>
      <c r="G2" s="993"/>
      <c r="H2" s="993"/>
      <c r="I2" s="993"/>
      <c r="J2" s="993"/>
      <c r="K2" s="993"/>
      <c r="L2" s="990"/>
      <c r="M2" s="990"/>
      <c r="N2" s="990"/>
      <c r="O2" s="990"/>
      <c r="P2" s="990"/>
      <c r="Q2" s="990"/>
      <c r="R2" s="990"/>
      <c r="S2" s="1305" t="s">
        <v>429</v>
      </c>
      <c r="T2" s="1305"/>
    </row>
    <row r="3" spans="1:25" s="997" customFormat="1" ht="31.5" customHeight="1" thickBot="1">
      <c r="A3" s="994" t="s">
        <v>5</v>
      </c>
      <c r="B3" s="995" t="s">
        <v>33</v>
      </c>
      <c r="C3" s="996" t="s">
        <v>252</v>
      </c>
      <c r="D3" s="1297" t="s">
        <v>4</v>
      </c>
      <c r="E3" s="1298"/>
      <c r="F3" s="1298"/>
      <c r="G3" s="1298"/>
      <c r="H3" s="1298"/>
      <c r="I3" s="1298"/>
      <c r="J3" s="1299"/>
      <c r="K3" s="1045"/>
      <c r="L3" s="1300" t="s">
        <v>253</v>
      </c>
      <c r="M3" s="1301"/>
      <c r="N3" s="1301"/>
      <c r="O3" s="1301"/>
      <c r="P3" s="1301"/>
      <c r="Q3" s="1301"/>
      <c r="R3" s="1302"/>
      <c r="S3" s="1300" t="s">
        <v>25</v>
      </c>
      <c r="T3" s="1301"/>
      <c r="U3" s="1301"/>
      <c r="V3" s="1301"/>
      <c r="W3" s="1301"/>
      <c r="X3" s="1301"/>
      <c r="Y3" s="1302"/>
    </row>
    <row r="4" spans="1:25" s="997" customFormat="1" ht="31.5" customHeight="1">
      <c r="A4" s="998"/>
      <c r="B4" s="1091"/>
      <c r="C4" s="999"/>
      <c r="D4" s="1000" t="s">
        <v>62</v>
      </c>
      <c r="E4" s="1001" t="s">
        <v>215</v>
      </c>
      <c r="F4" s="1001" t="s">
        <v>218</v>
      </c>
      <c r="G4" s="1002" t="s">
        <v>220</v>
      </c>
      <c r="H4" s="1002" t="s">
        <v>551</v>
      </c>
      <c r="I4" s="1002" t="s">
        <v>552</v>
      </c>
      <c r="J4" s="1003" t="s">
        <v>223</v>
      </c>
      <c r="K4" s="1046"/>
      <c r="L4" s="1000" t="s">
        <v>62</v>
      </c>
      <c r="M4" s="1001" t="s">
        <v>215</v>
      </c>
      <c r="N4" s="1001" t="s">
        <v>218</v>
      </c>
      <c r="O4" s="1002" t="s">
        <v>220</v>
      </c>
      <c r="P4" s="1002" t="s">
        <v>232</v>
      </c>
      <c r="Q4" s="1002" t="s">
        <v>237</v>
      </c>
      <c r="R4" s="1003" t="s">
        <v>224</v>
      </c>
      <c r="S4" s="1000" t="s">
        <v>62</v>
      </c>
      <c r="T4" s="1001" t="s">
        <v>215</v>
      </c>
      <c r="U4" s="1001" t="s">
        <v>218</v>
      </c>
      <c r="V4" s="1002" t="s">
        <v>220</v>
      </c>
      <c r="W4" s="1002" t="s">
        <v>232</v>
      </c>
      <c r="X4" s="1002" t="s">
        <v>237</v>
      </c>
      <c r="Y4" s="1003" t="s">
        <v>224</v>
      </c>
    </row>
    <row r="5" spans="1:25" ht="29.25" customHeight="1">
      <c r="A5" s="1004">
        <v>1</v>
      </c>
      <c r="B5" s="1092" t="s">
        <v>581</v>
      </c>
      <c r="C5" s="475" t="s">
        <v>201</v>
      </c>
      <c r="D5" s="477">
        <v>1500000</v>
      </c>
      <c r="E5" s="856">
        <v>1500000</v>
      </c>
      <c r="F5" s="856"/>
      <c r="G5" s="856"/>
      <c r="H5" s="856"/>
      <c r="I5" s="855"/>
      <c r="J5" s="1177">
        <f>+H5+I5</f>
        <v>0</v>
      </c>
      <c r="K5" s="1162"/>
      <c r="L5" s="477"/>
      <c r="M5" s="856"/>
      <c r="N5" s="856"/>
      <c r="O5" s="856"/>
      <c r="P5" s="856"/>
      <c r="Q5" s="856"/>
      <c r="R5" s="481"/>
      <c r="S5" s="477">
        <f aca="true" t="shared" si="0" ref="S5:V16">+D5-L5</f>
        <v>1500000</v>
      </c>
      <c r="T5" s="856">
        <f t="shared" si="0"/>
        <v>1500000</v>
      </c>
      <c r="U5" s="856">
        <f t="shared" si="0"/>
        <v>0</v>
      </c>
      <c r="V5" s="856">
        <f t="shared" si="0"/>
        <v>0</v>
      </c>
      <c r="W5" s="856"/>
      <c r="X5" s="856"/>
      <c r="Y5" s="481"/>
    </row>
    <row r="6" spans="1:25" ht="29.25" customHeight="1">
      <c r="A6" s="1004">
        <v>2</v>
      </c>
      <c r="B6" s="1092" t="s">
        <v>582</v>
      </c>
      <c r="C6" s="475"/>
      <c r="D6" s="477">
        <v>3000000</v>
      </c>
      <c r="E6" s="856">
        <v>3000000</v>
      </c>
      <c r="F6" s="855"/>
      <c r="G6" s="855"/>
      <c r="H6" s="855">
        <v>183136</v>
      </c>
      <c r="I6" s="855">
        <v>49447</v>
      </c>
      <c r="J6" s="1177">
        <f>+H6+I6</f>
        <v>232583</v>
      </c>
      <c r="K6" s="1162"/>
      <c r="L6" s="477"/>
      <c r="M6" s="854"/>
      <c r="N6" s="854"/>
      <c r="O6" s="854"/>
      <c r="P6" s="854"/>
      <c r="Q6" s="854"/>
      <c r="R6" s="481"/>
      <c r="S6" s="477">
        <f t="shared" si="0"/>
        <v>3000000</v>
      </c>
      <c r="T6" s="856">
        <f t="shared" si="0"/>
        <v>3000000</v>
      </c>
      <c r="U6" s="856">
        <f t="shared" si="0"/>
        <v>0</v>
      </c>
      <c r="V6" s="856">
        <f t="shared" si="0"/>
        <v>0</v>
      </c>
      <c r="W6" s="855"/>
      <c r="X6" s="856"/>
      <c r="Y6" s="481"/>
    </row>
    <row r="7" spans="1:25" ht="29.25" customHeight="1">
      <c r="A7" s="1004">
        <v>3</v>
      </c>
      <c r="B7" s="1092" t="s">
        <v>583</v>
      </c>
      <c r="C7" s="1005"/>
      <c r="D7" s="477">
        <v>700000</v>
      </c>
      <c r="E7" s="856">
        <v>700000</v>
      </c>
      <c r="F7" s="1178"/>
      <c r="G7" s="1178"/>
      <c r="H7" s="1178">
        <v>4795000</v>
      </c>
      <c r="I7" s="1178">
        <f>268650+216000+270000+540000</f>
        <v>1294650</v>
      </c>
      <c r="J7" s="1177">
        <f>+H7+I7</f>
        <v>6089650</v>
      </c>
      <c r="K7" s="1162"/>
      <c r="L7" s="477"/>
      <c r="M7" s="705"/>
      <c r="N7" s="705"/>
      <c r="O7" s="705"/>
      <c r="P7" s="705"/>
      <c r="Q7" s="705"/>
      <c r="R7" s="481"/>
      <c r="S7" s="477">
        <f t="shared" si="0"/>
        <v>700000</v>
      </c>
      <c r="T7" s="856">
        <f t="shared" si="0"/>
        <v>700000</v>
      </c>
      <c r="U7" s="856">
        <f t="shared" si="0"/>
        <v>0</v>
      </c>
      <c r="V7" s="856">
        <f t="shared" si="0"/>
        <v>0</v>
      </c>
      <c r="W7" s="1178"/>
      <c r="X7" s="856"/>
      <c r="Y7" s="481"/>
    </row>
    <row r="8" spans="1:25" ht="29.25" customHeight="1">
      <c r="A8" s="1004">
        <v>4</v>
      </c>
      <c r="B8" s="1092" t="s">
        <v>584</v>
      </c>
      <c r="C8" s="1005"/>
      <c r="D8" s="477">
        <v>10000000</v>
      </c>
      <c r="E8" s="856">
        <v>10000000</v>
      </c>
      <c r="F8" s="39"/>
      <c r="G8" s="39"/>
      <c r="H8" s="39">
        <v>62485</v>
      </c>
      <c r="I8" s="39"/>
      <c r="J8" s="1177">
        <f aca="true" t="shared" si="1" ref="J8:J19">+H8+I8</f>
        <v>62485</v>
      </c>
      <c r="K8" s="1162"/>
      <c r="L8" s="477"/>
      <c r="M8" s="705"/>
      <c r="N8" s="705"/>
      <c r="O8" s="705"/>
      <c r="P8" s="705"/>
      <c r="Q8" s="705"/>
      <c r="R8" s="481"/>
      <c r="S8" s="477">
        <f t="shared" si="0"/>
        <v>10000000</v>
      </c>
      <c r="T8" s="856">
        <f t="shared" si="0"/>
        <v>10000000</v>
      </c>
      <c r="U8" s="856">
        <f t="shared" si="0"/>
        <v>0</v>
      </c>
      <c r="V8" s="856">
        <f t="shared" si="0"/>
        <v>0</v>
      </c>
      <c r="W8" s="39"/>
      <c r="X8" s="856"/>
      <c r="Y8" s="481"/>
    </row>
    <row r="9" spans="1:25" ht="29.25" customHeight="1">
      <c r="A9" s="1004">
        <v>5</v>
      </c>
      <c r="B9" s="1092" t="s">
        <v>585</v>
      </c>
      <c r="C9" s="1005"/>
      <c r="D9" s="477">
        <v>516012</v>
      </c>
      <c r="E9" s="856">
        <f>516012+58116+15692</f>
        <v>589820</v>
      </c>
      <c r="F9" s="39"/>
      <c r="G9" s="39"/>
      <c r="H9" s="39"/>
      <c r="I9" s="39"/>
      <c r="J9" s="1177">
        <f t="shared" si="1"/>
        <v>0</v>
      </c>
      <c r="K9" s="1162"/>
      <c r="L9" s="477">
        <v>516012</v>
      </c>
      <c r="M9" s="856">
        <v>516012</v>
      </c>
      <c r="N9" s="705"/>
      <c r="O9" s="705"/>
      <c r="P9" s="705"/>
      <c r="Q9" s="705"/>
      <c r="R9" s="481"/>
      <c r="S9" s="477">
        <f t="shared" si="0"/>
        <v>0</v>
      </c>
      <c r="T9" s="856">
        <f t="shared" si="0"/>
        <v>73808</v>
      </c>
      <c r="U9" s="856">
        <f t="shared" si="0"/>
        <v>0</v>
      </c>
      <c r="V9" s="856">
        <f t="shared" si="0"/>
        <v>0</v>
      </c>
      <c r="W9" s="39"/>
      <c r="X9" s="856"/>
      <c r="Y9" s="481"/>
    </row>
    <row r="10" spans="1:25" ht="29.25" customHeight="1">
      <c r="A10" s="1004">
        <v>6</v>
      </c>
      <c r="B10" s="1092" t="s">
        <v>586</v>
      </c>
      <c r="C10" s="1005"/>
      <c r="D10" s="477">
        <v>45000000</v>
      </c>
      <c r="E10" s="856">
        <f>45000000-15963579-4310166</f>
        <v>24726255</v>
      </c>
      <c r="F10" s="855"/>
      <c r="G10" s="855"/>
      <c r="H10" s="39">
        <f>2166839+200000+200000+14408365+15823089+315000+17418162+105000</f>
        <v>50636455</v>
      </c>
      <c r="I10" s="39">
        <f>585046+54000+85050+28350</f>
        <v>752446</v>
      </c>
      <c r="J10" s="1177">
        <f t="shared" si="1"/>
        <v>51388901</v>
      </c>
      <c r="K10" s="1162"/>
      <c r="L10" s="1180">
        <v>14998400</v>
      </c>
      <c r="M10" s="1093">
        <v>14998400</v>
      </c>
      <c r="N10" s="855"/>
      <c r="O10" s="855"/>
      <c r="P10" s="705"/>
      <c r="Q10" s="705"/>
      <c r="R10" s="481"/>
      <c r="S10" s="477">
        <f t="shared" si="0"/>
        <v>30001600</v>
      </c>
      <c r="T10" s="856">
        <f t="shared" si="0"/>
        <v>9727855</v>
      </c>
      <c r="U10" s="856">
        <f t="shared" si="0"/>
        <v>0</v>
      </c>
      <c r="V10" s="856">
        <f t="shared" si="0"/>
        <v>0</v>
      </c>
      <c r="W10" s="39"/>
      <c r="X10" s="856"/>
      <c r="Y10" s="481"/>
    </row>
    <row r="11" spans="1:25" ht="29.25" customHeight="1">
      <c r="A11" s="1004">
        <v>7</v>
      </c>
      <c r="B11" s="800" t="s">
        <v>611</v>
      </c>
      <c r="C11" s="1005"/>
      <c r="D11" s="478"/>
      <c r="E11" s="855">
        <f>16146730+60000+401280+16200+108346</f>
        <v>16732556</v>
      </c>
      <c r="F11" s="855"/>
      <c r="G11" s="855"/>
      <c r="H11" s="39">
        <f>4668628*2+4668628*2+212599+1619400</f>
        <v>20506511</v>
      </c>
      <c r="I11" s="39">
        <f>1260530*4+57401</f>
        <v>5099521</v>
      </c>
      <c r="J11" s="1177">
        <f t="shared" si="1"/>
        <v>25606032</v>
      </c>
      <c r="K11" s="1162"/>
      <c r="L11" s="478"/>
      <c r="M11" s="855"/>
      <c r="N11" s="855"/>
      <c r="O11" s="855"/>
      <c r="P11" s="705"/>
      <c r="Q11" s="705"/>
      <c r="R11" s="481"/>
      <c r="S11" s="477">
        <f t="shared" si="0"/>
        <v>0</v>
      </c>
      <c r="T11" s="856">
        <f t="shared" si="0"/>
        <v>16732556</v>
      </c>
      <c r="U11" s="856">
        <f t="shared" si="0"/>
        <v>0</v>
      </c>
      <c r="V11" s="856">
        <f t="shared" si="0"/>
        <v>0</v>
      </c>
      <c r="W11" s="39"/>
      <c r="X11" s="856"/>
      <c r="Y11" s="481"/>
    </row>
    <row r="12" spans="1:25" ht="29.25" customHeight="1">
      <c r="A12" s="1004">
        <v>8</v>
      </c>
      <c r="B12" s="800" t="s">
        <v>612</v>
      </c>
      <c r="C12" s="1005"/>
      <c r="D12" s="478"/>
      <c r="E12" s="855">
        <f>243500+65745</f>
        <v>309245</v>
      </c>
      <c r="F12" s="855"/>
      <c r="G12" s="855"/>
      <c r="H12" s="39">
        <f>296124+424160</f>
        <v>720284</v>
      </c>
      <c r="I12" s="39">
        <f>79953+114523</f>
        <v>194476</v>
      </c>
      <c r="J12" s="1177">
        <f t="shared" si="1"/>
        <v>914760</v>
      </c>
      <c r="K12" s="1162"/>
      <c r="L12" s="478"/>
      <c r="M12" s="855"/>
      <c r="N12" s="705"/>
      <c r="O12" s="705"/>
      <c r="P12" s="705"/>
      <c r="Q12" s="705"/>
      <c r="R12" s="481"/>
      <c r="S12" s="477">
        <f t="shared" si="0"/>
        <v>0</v>
      </c>
      <c r="T12" s="856">
        <f t="shared" si="0"/>
        <v>309245</v>
      </c>
      <c r="U12" s="856">
        <f t="shared" si="0"/>
        <v>0</v>
      </c>
      <c r="V12" s="856">
        <f t="shared" si="0"/>
        <v>0</v>
      </c>
      <c r="W12" s="39"/>
      <c r="X12" s="856"/>
      <c r="Y12" s="481"/>
    </row>
    <row r="13" spans="1:25" ht="43.5" customHeight="1">
      <c r="A13" s="1004">
        <v>9</v>
      </c>
      <c r="B13" s="800" t="s">
        <v>613</v>
      </c>
      <c r="C13" s="1005"/>
      <c r="D13" s="478"/>
      <c r="E13" s="855">
        <f>149339+40321</f>
        <v>189660</v>
      </c>
      <c r="F13" s="855"/>
      <c r="G13" s="855"/>
      <c r="H13" s="39">
        <v>761068</v>
      </c>
      <c r="I13" s="39">
        <v>205488</v>
      </c>
      <c r="J13" s="1177">
        <f t="shared" si="1"/>
        <v>966556</v>
      </c>
      <c r="K13" s="1162"/>
      <c r="L13" s="478"/>
      <c r="M13" s="855"/>
      <c r="N13" s="855"/>
      <c r="O13" s="855"/>
      <c r="P13" s="39"/>
      <c r="Q13" s="800"/>
      <c r="R13" s="481"/>
      <c r="S13" s="477">
        <f t="shared" si="0"/>
        <v>0</v>
      </c>
      <c r="T13" s="856">
        <f t="shared" si="0"/>
        <v>189660</v>
      </c>
      <c r="U13" s="856">
        <f t="shared" si="0"/>
        <v>0</v>
      </c>
      <c r="V13" s="856">
        <f t="shared" si="0"/>
        <v>0</v>
      </c>
      <c r="W13" s="39"/>
      <c r="X13" s="856"/>
      <c r="Y13" s="481"/>
    </row>
    <row r="14" spans="1:25" ht="43.5" customHeight="1" thickBot="1">
      <c r="A14" s="1004">
        <v>10</v>
      </c>
      <c r="B14" s="800" t="s">
        <v>616</v>
      </c>
      <c r="C14" s="1005"/>
      <c r="D14" s="479"/>
      <c r="E14" s="39">
        <v>750000</v>
      </c>
      <c r="F14" s="39"/>
      <c r="G14" s="39"/>
      <c r="H14" s="39">
        <v>185826</v>
      </c>
      <c r="I14" s="39">
        <v>50173</v>
      </c>
      <c r="J14" s="1177">
        <f t="shared" si="1"/>
        <v>235999</v>
      </c>
      <c r="K14" s="1162"/>
      <c r="L14" s="483"/>
      <c r="M14" s="705"/>
      <c r="N14" s="705"/>
      <c r="O14" s="980"/>
      <c r="P14" s="705"/>
      <c r="Q14" s="705"/>
      <c r="R14" s="481"/>
      <c r="S14" s="483">
        <f t="shared" si="0"/>
        <v>0</v>
      </c>
      <c r="T14" s="856">
        <f t="shared" si="0"/>
        <v>750000</v>
      </c>
      <c r="U14" s="856">
        <f t="shared" si="0"/>
        <v>0</v>
      </c>
      <c r="V14" s="856">
        <f t="shared" si="0"/>
        <v>0</v>
      </c>
      <c r="W14" s="39">
        <f>55274+14924</f>
        <v>70198</v>
      </c>
      <c r="X14" s="856">
        <f aca="true" t="shared" si="2" ref="X14:X21">+I14-Q14</f>
        <v>50173</v>
      </c>
      <c r="Y14" s="481"/>
    </row>
    <row r="15" spans="1:25" ht="43.5" customHeight="1" hidden="1">
      <c r="A15" s="1004">
        <v>11</v>
      </c>
      <c r="B15" s="800"/>
      <c r="C15" s="1005"/>
      <c r="D15" s="479"/>
      <c r="E15" s="39"/>
      <c r="F15" s="39"/>
      <c r="G15" s="39"/>
      <c r="H15" s="39">
        <v>365000</v>
      </c>
      <c r="I15" s="39">
        <v>98550</v>
      </c>
      <c r="J15" s="1177">
        <f t="shared" si="1"/>
        <v>463550</v>
      </c>
      <c r="K15" s="1162"/>
      <c r="L15" s="479"/>
      <c r="M15" s="39"/>
      <c r="N15" s="705"/>
      <c r="O15" s="980"/>
      <c r="P15" s="705"/>
      <c r="Q15" s="705"/>
      <c r="R15" s="481"/>
      <c r="S15" s="483"/>
      <c r="T15" s="856">
        <f t="shared" si="0"/>
        <v>0</v>
      </c>
      <c r="U15" s="856">
        <f t="shared" si="0"/>
        <v>0</v>
      </c>
      <c r="V15" s="856">
        <f t="shared" si="0"/>
        <v>0</v>
      </c>
      <c r="W15" s="39">
        <f>51181+13819</f>
        <v>65000</v>
      </c>
      <c r="X15" s="856">
        <f t="shared" si="2"/>
        <v>98550</v>
      </c>
      <c r="Y15" s="481"/>
    </row>
    <row r="16" spans="1:25" ht="43.5" customHeight="1" hidden="1">
      <c r="A16" s="1004">
        <v>12</v>
      </c>
      <c r="B16" s="1092"/>
      <c r="C16" s="476"/>
      <c r="D16" s="479"/>
      <c r="E16" s="39"/>
      <c r="F16" s="39"/>
      <c r="G16" s="39"/>
      <c r="H16" s="39">
        <v>32362</v>
      </c>
      <c r="I16" s="39">
        <v>8738</v>
      </c>
      <c r="J16" s="1177">
        <f t="shared" si="1"/>
        <v>41100</v>
      </c>
      <c r="K16" s="1162"/>
      <c r="L16" s="479"/>
      <c r="M16" s="39"/>
      <c r="N16" s="705"/>
      <c r="O16" s="980"/>
      <c r="P16" s="705"/>
      <c r="Q16" s="705"/>
      <c r="R16" s="481"/>
      <c r="S16" s="483"/>
      <c r="T16" s="856">
        <f t="shared" si="0"/>
        <v>0</v>
      </c>
      <c r="U16" s="856">
        <f t="shared" si="0"/>
        <v>0</v>
      </c>
      <c r="V16" s="856">
        <f t="shared" si="0"/>
        <v>0</v>
      </c>
      <c r="W16" s="39"/>
      <c r="X16" s="856">
        <f t="shared" si="2"/>
        <v>8738</v>
      </c>
      <c r="Y16" s="481"/>
    </row>
    <row r="17" spans="1:25" ht="43.5" customHeight="1" hidden="1">
      <c r="A17" s="1004">
        <v>13</v>
      </c>
      <c r="B17" s="1092"/>
      <c r="C17" s="1005"/>
      <c r="D17" s="479"/>
      <c r="E17" s="39"/>
      <c r="F17" s="39"/>
      <c r="G17" s="39"/>
      <c r="H17" s="39">
        <v>105900</v>
      </c>
      <c r="I17" s="39">
        <v>28593</v>
      </c>
      <c r="J17" s="1177">
        <f t="shared" si="1"/>
        <v>134493</v>
      </c>
      <c r="K17" s="1162"/>
      <c r="L17" s="479"/>
      <c r="M17" s="39"/>
      <c r="N17" s="705"/>
      <c r="O17" s="980"/>
      <c r="P17" s="705"/>
      <c r="Q17" s="705"/>
      <c r="R17" s="481"/>
      <c r="S17" s="483"/>
      <c r="T17" s="705"/>
      <c r="U17" s="856">
        <f>+F17-N17</f>
        <v>0</v>
      </c>
      <c r="V17" s="856">
        <f>+G17-O17</f>
        <v>0</v>
      </c>
      <c r="W17" s="39"/>
      <c r="X17" s="856">
        <f t="shared" si="2"/>
        <v>28593</v>
      </c>
      <c r="Y17" s="481"/>
    </row>
    <row r="18" spans="1:25" ht="43.5" customHeight="1" hidden="1">
      <c r="A18" s="1004">
        <v>14</v>
      </c>
      <c r="B18" s="800"/>
      <c r="C18" s="1005"/>
      <c r="D18" s="479"/>
      <c r="E18" s="39"/>
      <c r="F18" s="39"/>
      <c r="G18" s="1178"/>
      <c r="H18" s="39">
        <v>86535</v>
      </c>
      <c r="I18" s="39">
        <v>23365</v>
      </c>
      <c r="J18" s="1177">
        <f t="shared" si="1"/>
        <v>109900</v>
      </c>
      <c r="K18" s="1162"/>
      <c r="L18" s="479"/>
      <c r="M18" s="39"/>
      <c r="N18" s="705"/>
      <c r="O18" s="980"/>
      <c r="P18" s="705"/>
      <c r="Q18" s="705"/>
      <c r="R18" s="481"/>
      <c r="S18" s="483"/>
      <c r="T18" s="705"/>
      <c r="U18" s="856"/>
      <c r="V18" s="856">
        <f>+G18-O18</f>
        <v>0</v>
      </c>
      <c r="W18" s="39"/>
      <c r="X18" s="856"/>
      <c r="Y18" s="481"/>
    </row>
    <row r="19" spans="1:25" ht="43.5" customHeight="1" hidden="1">
      <c r="A19" s="1004">
        <v>16</v>
      </c>
      <c r="B19" s="800"/>
      <c r="C19" s="1005"/>
      <c r="D19" s="479"/>
      <c r="E19" s="39"/>
      <c r="F19" s="39"/>
      <c r="G19" s="1178"/>
      <c r="H19" s="39">
        <v>46457</v>
      </c>
      <c r="I19" s="39">
        <v>12543</v>
      </c>
      <c r="J19" s="1177">
        <f t="shared" si="1"/>
        <v>59000</v>
      </c>
      <c r="K19" s="1162"/>
      <c r="L19" s="483"/>
      <c r="M19" s="705"/>
      <c r="N19" s="705"/>
      <c r="O19" s="980"/>
      <c r="P19" s="705"/>
      <c r="Q19" s="705"/>
      <c r="R19" s="481"/>
      <c r="S19" s="483"/>
      <c r="T19" s="705"/>
      <c r="U19" s="856"/>
      <c r="V19" s="856">
        <f>+G19-O19</f>
        <v>0</v>
      </c>
      <c r="W19" s="39"/>
      <c r="X19" s="856"/>
      <c r="Y19" s="481"/>
    </row>
    <row r="20" spans="1:25" ht="43.5" customHeight="1" hidden="1">
      <c r="A20" s="1004"/>
      <c r="B20" s="800"/>
      <c r="C20" s="1005"/>
      <c r="D20" s="479"/>
      <c r="E20" s="39"/>
      <c r="F20" s="39"/>
      <c r="G20" s="39"/>
      <c r="H20" s="39"/>
      <c r="I20" s="39"/>
      <c r="J20" s="1177"/>
      <c r="K20" s="1162"/>
      <c r="L20" s="483"/>
      <c r="M20" s="705"/>
      <c r="N20" s="705"/>
      <c r="O20" s="980"/>
      <c r="P20" s="705"/>
      <c r="Q20" s="705"/>
      <c r="R20" s="481"/>
      <c r="S20" s="483"/>
      <c r="T20" s="705"/>
      <c r="U20" s="856"/>
      <c r="V20" s="39"/>
      <c r="W20" s="39"/>
      <c r="X20" s="856"/>
      <c r="Y20" s="481"/>
    </row>
    <row r="21" spans="1:25" ht="29.25" customHeight="1" hidden="1" thickBot="1">
      <c r="A21" s="1004"/>
      <c r="B21" s="47"/>
      <c r="C21" s="1005" t="s">
        <v>201</v>
      </c>
      <c r="D21" s="479"/>
      <c r="E21" s="39"/>
      <c r="F21" s="39"/>
      <c r="G21" s="39"/>
      <c r="H21" s="39"/>
      <c r="I21" s="39"/>
      <c r="J21" s="1179"/>
      <c r="K21" s="1163"/>
      <c r="L21" s="483"/>
      <c r="M21" s="705"/>
      <c r="N21" s="705"/>
      <c r="O21" s="978"/>
      <c r="P21" s="705"/>
      <c r="Q21" s="705"/>
      <c r="R21" s="481" t="e">
        <f>O21/M21</f>
        <v>#DIV/0!</v>
      </c>
      <c r="S21" s="483"/>
      <c r="T21" s="705"/>
      <c r="U21" s="705"/>
      <c r="V21" s="39">
        <f>G21-O21</f>
        <v>0</v>
      </c>
      <c r="W21" s="39"/>
      <c r="X21" s="856">
        <f t="shared" si="2"/>
        <v>0</v>
      </c>
      <c r="Y21" s="481" t="e">
        <f>V21/T21</f>
        <v>#DIV/0!</v>
      </c>
    </row>
    <row r="22" spans="1:26" ht="31.5" customHeight="1" thickBot="1">
      <c r="A22" s="1295" t="s">
        <v>1</v>
      </c>
      <c r="B22" s="1303"/>
      <c r="C22" s="996"/>
      <c r="D22" s="480">
        <f>SUM(D5:D18)</f>
        <v>60716012</v>
      </c>
      <c r="E22" s="703">
        <f>SUM(E5:E18)</f>
        <v>58497536</v>
      </c>
      <c r="F22" s="703">
        <f>SUM(F5:F21)</f>
        <v>0</v>
      </c>
      <c r="G22" s="703">
        <f>SUM(G5:G21)</f>
        <v>0</v>
      </c>
      <c r="H22" s="703">
        <f>SUM(H5:H21)</f>
        <v>78487019</v>
      </c>
      <c r="I22" s="703">
        <f>SUM(I5:I21)</f>
        <v>7817990</v>
      </c>
      <c r="J22" s="1174">
        <f>SUM(J5:J21)</f>
        <v>86305009</v>
      </c>
      <c r="K22" s="1164"/>
      <c r="L22" s="480">
        <f aca="true" t="shared" si="3" ref="L22:Q22">SUM(L5:L21)</f>
        <v>15514412</v>
      </c>
      <c r="M22" s="703">
        <f>SUM(M5:M21)</f>
        <v>15514412</v>
      </c>
      <c r="N22" s="703">
        <f t="shared" si="3"/>
        <v>0</v>
      </c>
      <c r="O22" s="703">
        <f t="shared" si="3"/>
        <v>0</v>
      </c>
      <c r="P22" s="703">
        <f t="shared" si="3"/>
        <v>0</v>
      </c>
      <c r="Q22" s="703">
        <f t="shared" si="3"/>
        <v>0</v>
      </c>
      <c r="R22" s="704" t="e">
        <f>P22/O22</f>
        <v>#DIV/0!</v>
      </c>
      <c r="S22" s="480">
        <f aca="true" t="shared" si="4" ref="S22:X22">SUM(S5:S21)</f>
        <v>45201600</v>
      </c>
      <c r="T22" s="703">
        <f t="shared" si="4"/>
        <v>42983124</v>
      </c>
      <c r="U22" s="703">
        <f t="shared" si="4"/>
        <v>0</v>
      </c>
      <c r="V22" s="703">
        <f t="shared" si="4"/>
        <v>0</v>
      </c>
      <c r="W22" s="703">
        <f t="shared" si="4"/>
        <v>135198</v>
      </c>
      <c r="X22" s="703">
        <f t="shared" si="4"/>
        <v>186054</v>
      </c>
      <c r="Y22" s="704" t="e">
        <f>W22/V22</f>
        <v>#DIV/0!</v>
      </c>
      <c r="Z22" s="1007"/>
    </row>
    <row r="23" spans="1:26" ht="15.75">
      <c r="A23" s="990"/>
      <c r="B23" s="990"/>
      <c r="C23" s="1006"/>
      <c r="D23" s="896"/>
      <c r="E23" s="31"/>
      <c r="F23" s="31"/>
      <c r="G23" s="31"/>
      <c r="H23" s="31"/>
      <c r="I23" s="31"/>
      <c r="J23" s="31">
        <f>+I23-I22</f>
        <v>-7817990</v>
      </c>
      <c r="K23" s="31"/>
      <c r="L23" s="31"/>
      <c r="M23" s="31"/>
      <c r="N23" s="31"/>
      <c r="O23" s="31"/>
      <c r="P23" s="31"/>
      <c r="Q23" s="31"/>
      <c r="R23" s="31"/>
      <c r="S23" s="31"/>
      <c r="U23" s="1007"/>
      <c r="X23" s="1007"/>
      <c r="Z23" s="1007"/>
    </row>
    <row r="24" spans="1:24" ht="15.75">
      <c r="A24" s="990"/>
      <c r="B24" s="993"/>
      <c r="C24" s="1006"/>
      <c r="D24" s="1008" t="str">
        <f>IF(L22+S22=D22," ","HIBA-NEM EGYENLŐ")</f>
        <v> 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U24" s="1007"/>
      <c r="V24" s="1007"/>
      <c r="X24" s="1007"/>
    </row>
    <row r="25" spans="1:20" ht="14.25">
      <c r="A25" s="1304" t="s">
        <v>57</v>
      </c>
      <c r="B25" s="1304"/>
      <c r="C25" s="1304"/>
      <c r="D25" s="1304"/>
      <c r="E25" s="1304"/>
      <c r="F25" s="1304"/>
      <c r="G25" s="1304"/>
      <c r="H25" s="1304"/>
      <c r="I25" s="1304"/>
      <c r="J25" s="1304"/>
      <c r="K25" s="1304"/>
      <c r="L25" s="1304"/>
      <c r="M25" s="1304"/>
      <c r="N25" s="1304"/>
      <c r="O25" s="1304"/>
      <c r="P25" s="1304"/>
      <c r="Q25" s="1304"/>
      <c r="R25" s="1304"/>
      <c r="S25" s="1304"/>
      <c r="T25" s="1304"/>
    </row>
    <row r="26" spans="1:19" ht="13.5" thickBot="1">
      <c r="A26" s="1009"/>
      <c r="B26" s="1009"/>
      <c r="D26" s="1009"/>
      <c r="E26" s="1009"/>
      <c r="F26" s="1009"/>
      <c r="G26" s="1009"/>
      <c r="H26" s="1009"/>
      <c r="I26" s="1009"/>
      <c r="J26" s="1009"/>
      <c r="K26" s="1009"/>
      <c r="L26" s="1009"/>
      <c r="M26" s="1009"/>
      <c r="N26" s="1009"/>
      <c r="O26" s="1009"/>
      <c r="P26" s="1009"/>
      <c r="Q26" s="1009"/>
      <c r="R26" s="1009"/>
      <c r="S26" s="1009"/>
    </row>
    <row r="27" spans="1:25" ht="29.25" customHeight="1" thickBot="1">
      <c r="A27" s="994" t="s">
        <v>5</v>
      </c>
      <c r="B27" s="995" t="s">
        <v>29</v>
      </c>
      <c r="C27" s="996" t="s">
        <v>252</v>
      </c>
      <c r="D27" s="1297" t="s">
        <v>4</v>
      </c>
      <c r="E27" s="1298"/>
      <c r="F27" s="1298"/>
      <c r="G27" s="1298"/>
      <c r="H27" s="1298"/>
      <c r="I27" s="1298"/>
      <c r="J27" s="1299"/>
      <c r="K27" s="1045"/>
      <c r="L27" s="1300" t="s">
        <v>253</v>
      </c>
      <c r="M27" s="1301"/>
      <c r="N27" s="1301"/>
      <c r="O27" s="1301"/>
      <c r="P27" s="1301"/>
      <c r="Q27" s="1301"/>
      <c r="R27" s="1302"/>
      <c r="S27" s="1300" t="s">
        <v>25</v>
      </c>
      <c r="T27" s="1301"/>
      <c r="U27" s="1301"/>
      <c r="V27" s="1301"/>
      <c r="W27" s="1301"/>
      <c r="X27" s="1301"/>
      <c r="Y27" s="1302"/>
    </row>
    <row r="28" spans="1:25" ht="28.5" customHeight="1" thickBot="1">
      <c r="A28" s="1010"/>
      <c r="B28" s="1011"/>
      <c r="C28" s="1012"/>
      <c r="D28" s="1000" t="s">
        <v>62</v>
      </c>
      <c r="E28" s="1001" t="s">
        <v>215</v>
      </c>
      <c r="F28" s="1001" t="s">
        <v>218</v>
      </c>
      <c r="G28" s="1002" t="s">
        <v>220</v>
      </c>
      <c r="H28" s="1002" t="s">
        <v>551</v>
      </c>
      <c r="I28" s="1002" t="s">
        <v>552</v>
      </c>
      <c r="J28" s="1003" t="s">
        <v>224</v>
      </c>
      <c r="K28" s="1046"/>
      <c r="L28" s="1000" t="s">
        <v>62</v>
      </c>
      <c r="M28" s="1001" t="s">
        <v>215</v>
      </c>
      <c r="N28" s="1001" t="s">
        <v>218</v>
      </c>
      <c r="O28" s="1002" t="s">
        <v>220</v>
      </c>
      <c r="P28" s="1002" t="s">
        <v>232</v>
      </c>
      <c r="Q28" s="1002" t="s">
        <v>237</v>
      </c>
      <c r="R28" s="1003" t="s">
        <v>224</v>
      </c>
      <c r="S28" s="1000" t="s">
        <v>62</v>
      </c>
      <c r="T28" s="1001" t="s">
        <v>215</v>
      </c>
      <c r="U28" s="1001" t="s">
        <v>218</v>
      </c>
      <c r="V28" s="1002" t="s">
        <v>220</v>
      </c>
      <c r="W28" s="1002" t="s">
        <v>232</v>
      </c>
      <c r="X28" s="1002" t="s">
        <v>237</v>
      </c>
      <c r="Y28" s="1003" t="s">
        <v>224</v>
      </c>
    </row>
    <row r="29" spans="1:26" ht="29.25" customHeight="1" thickBot="1">
      <c r="A29" s="1013">
        <v>1</v>
      </c>
      <c r="B29" s="1094" t="s">
        <v>587</v>
      </c>
      <c r="C29" s="1005" t="s">
        <v>201</v>
      </c>
      <c r="D29" s="478">
        <v>88570024</v>
      </c>
      <c r="E29" s="855">
        <f>88570024+3872379+1045542</f>
        <v>93487945</v>
      </c>
      <c r="F29" s="855"/>
      <c r="G29" s="855"/>
      <c r="H29" s="1167">
        <f>4000749+14002620+29567598+14002619+14783799</f>
        <v>76357385</v>
      </c>
      <c r="I29" s="1167">
        <f>1596650+1080202+3780707+7983251+3780707+3991626</f>
        <v>22213143</v>
      </c>
      <c r="J29" s="1168">
        <f>+H29+I29</f>
        <v>98570528</v>
      </c>
      <c r="K29" s="1165">
        <f>+J29-G29</f>
        <v>98570528</v>
      </c>
      <c r="L29" s="1097">
        <v>76185600</v>
      </c>
      <c r="M29" s="1175">
        <v>76185600</v>
      </c>
      <c r="N29" s="1014">
        <v>76299528</v>
      </c>
      <c r="O29" s="1014">
        <v>76299528</v>
      </c>
      <c r="P29" s="1014"/>
      <c r="Q29" s="1014"/>
      <c r="R29" s="481"/>
      <c r="S29" s="478">
        <f aca="true" t="shared" si="5" ref="S29:U38">+D29-L29</f>
        <v>12384424</v>
      </c>
      <c r="T29" s="855">
        <f t="shared" si="5"/>
        <v>17302345</v>
      </c>
      <c r="U29" s="855">
        <f t="shared" si="5"/>
        <v>-76299528</v>
      </c>
      <c r="V29" s="855">
        <f aca="true" t="shared" si="6" ref="V29:X39">G29-O29</f>
        <v>-76299528</v>
      </c>
      <c r="W29" s="855">
        <f t="shared" si="6"/>
        <v>76357385</v>
      </c>
      <c r="X29" s="855">
        <f t="shared" si="6"/>
        <v>22213143</v>
      </c>
      <c r="Y29" s="481">
        <f>W29/V29</f>
        <v>-1.0007582877839034</v>
      </c>
      <c r="Z29" s="1007"/>
    </row>
    <row r="30" spans="1:26" ht="29.25" customHeight="1" thickBot="1">
      <c r="A30" s="1004">
        <v>2</v>
      </c>
      <c r="B30" s="1095" t="s">
        <v>610</v>
      </c>
      <c r="C30" s="1005" t="s">
        <v>201</v>
      </c>
      <c r="D30" s="478">
        <v>73981400</v>
      </c>
      <c r="E30" s="855">
        <f>73981400-4359617-16146730+2136461+576845+430000+116100</f>
        <v>56734459</v>
      </c>
      <c r="F30" s="855"/>
      <c r="G30" s="855"/>
      <c r="H30" s="1169">
        <f>300000+23974012</f>
        <v>24274012</v>
      </c>
      <c r="I30" s="1169">
        <f>81000+6472983+532578</f>
        <v>7086561</v>
      </c>
      <c r="J30" s="1170">
        <f aca="true" t="shared" si="7" ref="J30:J40">+H30+I30</f>
        <v>31360573</v>
      </c>
      <c r="K30" s="1165">
        <f>+J30-G30</f>
        <v>31360573</v>
      </c>
      <c r="L30" s="1096">
        <f>5929200+21960000+116100+430000+116100</f>
        <v>28551400</v>
      </c>
      <c r="M30" s="1176">
        <f>5929200+21960000+116100+430000+116100</f>
        <v>28551400</v>
      </c>
      <c r="N30" s="705">
        <v>6661716</v>
      </c>
      <c r="O30" s="705">
        <v>6661716</v>
      </c>
      <c r="P30" s="705"/>
      <c r="Q30" s="705"/>
      <c r="R30" s="481"/>
      <c r="S30" s="478">
        <f t="shared" si="5"/>
        <v>45430000</v>
      </c>
      <c r="T30" s="855">
        <f t="shared" si="5"/>
        <v>28183059</v>
      </c>
      <c r="U30" s="855">
        <f t="shared" si="5"/>
        <v>-6661716</v>
      </c>
      <c r="V30" s="855">
        <f t="shared" si="6"/>
        <v>-6661716</v>
      </c>
      <c r="W30" s="855">
        <f t="shared" si="6"/>
        <v>24274012</v>
      </c>
      <c r="X30" s="855">
        <f t="shared" si="6"/>
        <v>7086561</v>
      </c>
      <c r="Y30" s="481">
        <f>W30/V30</f>
        <v>-3.643807691591776</v>
      </c>
      <c r="Z30" s="1007"/>
    </row>
    <row r="31" spans="1:25" ht="29.25" customHeight="1" thickBot="1">
      <c r="A31" s="1004">
        <v>3</v>
      </c>
      <c r="B31" s="1095" t="s">
        <v>588</v>
      </c>
      <c r="C31" s="1005" t="s">
        <v>201</v>
      </c>
      <c r="D31" s="478">
        <v>5713499</v>
      </c>
      <c r="E31" s="855">
        <v>5713499</v>
      </c>
      <c r="F31" s="855"/>
      <c r="G31" s="855"/>
      <c r="H31" s="39">
        <f>3500000+884331+201508+36648+66233+2090111+100000+200000+763566</f>
        <v>7842397</v>
      </c>
      <c r="I31" s="39">
        <f>238769+54407+206163+27000+54000+17883</f>
        <v>598222</v>
      </c>
      <c r="J31" s="1171">
        <f t="shared" si="7"/>
        <v>8440619</v>
      </c>
      <c r="K31" s="1165">
        <f aca="true" t="shared" si="8" ref="K31:K40">+J31-G31</f>
        <v>8440619</v>
      </c>
      <c r="L31" s="1096">
        <f>50000+13500+3661417+988582+70000+18900</f>
        <v>4802399</v>
      </c>
      <c r="M31" s="1176">
        <f>50000+13500+3661417+988582+70000+18900</f>
        <v>4802399</v>
      </c>
      <c r="N31" s="705"/>
      <c r="O31" s="705"/>
      <c r="P31" s="705"/>
      <c r="Q31" s="705"/>
      <c r="R31" s="481"/>
      <c r="S31" s="478">
        <f t="shared" si="5"/>
        <v>911100</v>
      </c>
      <c r="T31" s="855">
        <f t="shared" si="5"/>
        <v>911100</v>
      </c>
      <c r="U31" s="855">
        <f t="shared" si="5"/>
        <v>0</v>
      </c>
      <c r="V31" s="855">
        <f t="shared" si="6"/>
        <v>0</v>
      </c>
      <c r="W31" s="855">
        <f t="shared" si="6"/>
        <v>7842397</v>
      </c>
      <c r="X31" s="855">
        <f t="shared" si="6"/>
        <v>598222</v>
      </c>
      <c r="Y31" s="481" t="e">
        <f>W31/V31</f>
        <v>#DIV/0!</v>
      </c>
    </row>
    <row r="32" spans="1:25" ht="29.25" customHeight="1" thickBot="1">
      <c r="A32" s="1004">
        <v>4</v>
      </c>
      <c r="B32" s="981" t="s">
        <v>589</v>
      </c>
      <c r="C32" s="476" t="s">
        <v>201</v>
      </c>
      <c r="D32" s="478">
        <v>26000000</v>
      </c>
      <c r="E32" s="855">
        <v>26000000</v>
      </c>
      <c r="F32" s="855"/>
      <c r="G32" s="855"/>
      <c r="H32" s="1172">
        <f>5623713</f>
        <v>5623713</v>
      </c>
      <c r="I32" s="1173">
        <v>1518409</v>
      </c>
      <c r="J32" s="1171">
        <f t="shared" si="7"/>
        <v>7142122</v>
      </c>
      <c r="K32" s="1165">
        <f t="shared" si="8"/>
        <v>7142122</v>
      </c>
      <c r="L32" s="483"/>
      <c r="M32" s="705"/>
      <c r="N32" s="705">
        <v>15000000</v>
      </c>
      <c r="O32" s="705">
        <v>15000000</v>
      </c>
      <c r="P32" s="705"/>
      <c r="Q32" s="705"/>
      <c r="R32" s="481"/>
      <c r="S32" s="478">
        <f t="shared" si="5"/>
        <v>26000000</v>
      </c>
      <c r="T32" s="855">
        <f t="shared" si="5"/>
        <v>26000000</v>
      </c>
      <c r="U32" s="855">
        <f t="shared" si="5"/>
        <v>-15000000</v>
      </c>
      <c r="V32" s="855">
        <f t="shared" si="6"/>
        <v>-15000000</v>
      </c>
      <c r="W32" s="855">
        <f t="shared" si="6"/>
        <v>5623713</v>
      </c>
      <c r="X32" s="855">
        <f t="shared" si="6"/>
        <v>1518409</v>
      </c>
      <c r="Y32" s="481">
        <f>W32/V32</f>
        <v>-0.3749142</v>
      </c>
    </row>
    <row r="33" spans="1:25" ht="48.75" customHeight="1" thickBot="1">
      <c r="A33" s="1004">
        <v>5</v>
      </c>
      <c r="B33" s="981" t="s">
        <v>511</v>
      </c>
      <c r="C33" s="476" t="s">
        <v>200</v>
      </c>
      <c r="D33" s="478">
        <v>2066507</v>
      </c>
      <c r="E33" s="855">
        <f>2066507+126078+34041</f>
        <v>2226626</v>
      </c>
      <c r="F33" s="855"/>
      <c r="G33" s="855"/>
      <c r="H33" s="1172"/>
      <c r="I33" s="1173"/>
      <c r="J33" s="1171">
        <f t="shared" si="7"/>
        <v>0</v>
      </c>
      <c r="K33" s="1165">
        <f t="shared" si="8"/>
        <v>0</v>
      </c>
      <c r="L33" s="482">
        <v>2066507</v>
      </c>
      <c r="M33" s="854">
        <v>2066507</v>
      </c>
      <c r="N33" s="854">
        <v>4293132</v>
      </c>
      <c r="O33" s="854">
        <v>4293132</v>
      </c>
      <c r="P33" s="854"/>
      <c r="Q33" s="854"/>
      <c r="R33" s="481"/>
      <c r="S33" s="478">
        <f t="shared" si="5"/>
        <v>0</v>
      </c>
      <c r="T33" s="855">
        <f t="shared" si="5"/>
        <v>160119</v>
      </c>
      <c r="U33" s="855">
        <f t="shared" si="5"/>
        <v>-4293132</v>
      </c>
      <c r="V33" s="855">
        <f t="shared" si="6"/>
        <v>-4293132</v>
      </c>
      <c r="W33" s="855"/>
      <c r="X33" s="855">
        <f>I33-Q33</f>
        <v>0</v>
      </c>
      <c r="Y33" s="481">
        <f>V33/T33</f>
        <v>-26.81213347572743</v>
      </c>
    </row>
    <row r="34" spans="1:25" ht="28.5" customHeight="1" thickBot="1">
      <c r="A34" s="1004">
        <v>6</v>
      </c>
      <c r="B34" s="981" t="s">
        <v>614</v>
      </c>
      <c r="C34" s="1005" t="s">
        <v>201</v>
      </c>
      <c r="D34" s="478"/>
      <c r="E34" s="855">
        <v>130000</v>
      </c>
      <c r="F34" s="855"/>
      <c r="G34" s="855"/>
      <c r="H34" s="1172">
        <f>693633+253292+401600+7965</f>
        <v>1356490</v>
      </c>
      <c r="I34" s="1173">
        <f>187281+108432+2151+68389</f>
        <v>366253</v>
      </c>
      <c r="J34" s="1171">
        <f t="shared" si="7"/>
        <v>1722743</v>
      </c>
      <c r="K34" s="1165">
        <f t="shared" si="8"/>
        <v>1722743</v>
      </c>
      <c r="L34" s="482"/>
      <c r="M34" s="854"/>
      <c r="N34" s="854"/>
      <c r="O34" s="854"/>
      <c r="P34" s="854"/>
      <c r="Q34" s="854"/>
      <c r="R34" s="481"/>
      <c r="S34" s="478">
        <f t="shared" si="5"/>
        <v>0</v>
      </c>
      <c r="T34" s="855">
        <f t="shared" si="5"/>
        <v>130000</v>
      </c>
      <c r="U34" s="855">
        <f t="shared" si="5"/>
        <v>0</v>
      </c>
      <c r="V34" s="855">
        <f t="shared" si="6"/>
        <v>0</v>
      </c>
      <c r="W34" s="855">
        <f>1891455+510693</f>
        <v>2402148</v>
      </c>
      <c r="X34" s="855">
        <f>I34-Q34</f>
        <v>366253</v>
      </c>
      <c r="Y34" s="481"/>
    </row>
    <row r="35" spans="1:25" ht="28.5" customHeight="1" thickBot="1">
      <c r="A35" s="1004">
        <v>7</v>
      </c>
      <c r="B35" s="981" t="s">
        <v>615</v>
      </c>
      <c r="C35" s="1005" t="s">
        <v>201</v>
      </c>
      <c r="D35" s="478"/>
      <c r="E35" s="855">
        <f>785000+211950</f>
        <v>996950</v>
      </c>
      <c r="F35" s="855"/>
      <c r="G35" s="855"/>
      <c r="H35" s="1172">
        <f>500000+1972510</f>
        <v>2472510</v>
      </c>
      <c r="I35" s="1173">
        <v>135000</v>
      </c>
      <c r="J35" s="1171">
        <f t="shared" si="7"/>
        <v>2607510</v>
      </c>
      <c r="K35" s="1165">
        <f t="shared" si="8"/>
        <v>2607510</v>
      </c>
      <c r="L35" s="482"/>
      <c r="M35" s="854"/>
      <c r="N35" s="854"/>
      <c r="O35" s="854"/>
      <c r="P35" s="854"/>
      <c r="Q35" s="854"/>
      <c r="R35" s="481"/>
      <c r="S35" s="478">
        <f t="shared" si="5"/>
        <v>0</v>
      </c>
      <c r="T35" s="855">
        <f t="shared" si="5"/>
        <v>996950</v>
      </c>
      <c r="U35" s="855">
        <f t="shared" si="5"/>
        <v>0</v>
      </c>
      <c r="V35" s="855">
        <f t="shared" si="6"/>
        <v>0</v>
      </c>
      <c r="W35" s="855"/>
      <c r="X35" s="855">
        <f>I35-Q35</f>
        <v>135000</v>
      </c>
      <c r="Y35" s="481"/>
    </row>
    <row r="36" spans="1:25" ht="48.75" customHeight="1" hidden="1" thickBot="1">
      <c r="A36" s="1004">
        <v>8</v>
      </c>
      <c r="B36" s="981"/>
      <c r="C36" s="1005" t="s">
        <v>201</v>
      </c>
      <c r="D36" s="478"/>
      <c r="E36" s="855"/>
      <c r="F36" s="855"/>
      <c r="G36" s="855"/>
      <c r="H36" s="1172">
        <v>1476405</v>
      </c>
      <c r="I36" s="1173">
        <v>398629</v>
      </c>
      <c r="J36" s="1171">
        <f t="shared" si="7"/>
        <v>1875034</v>
      </c>
      <c r="K36" s="1165">
        <f t="shared" si="8"/>
        <v>1875034</v>
      </c>
      <c r="L36" s="482"/>
      <c r="M36" s="854"/>
      <c r="N36" s="854"/>
      <c r="O36" s="854"/>
      <c r="P36" s="854"/>
      <c r="Q36" s="854"/>
      <c r="R36" s="481"/>
      <c r="S36" s="478">
        <f t="shared" si="5"/>
        <v>0</v>
      </c>
      <c r="T36" s="854"/>
      <c r="U36" s="855">
        <f>+F36-N36</f>
        <v>0</v>
      </c>
      <c r="V36" s="855">
        <f t="shared" si="6"/>
        <v>0</v>
      </c>
      <c r="W36" s="855"/>
      <c r="X36" s="855">
        <f>I36-Q36</f>
        <v>398629</v>
      </c>
      <c r="Y36" s="481"/>
    </row>
    <row r="37" spans="1:25" ht="48.75" customHeight="1" hidden="1" thickBot="1">
      <c r="A37" s="1004">
        <v>9</v>
      </c>
      <c r="B37" s="981"/>
      <c r="C37" s="1005" t="s">
        <v>201</v>
      </c>
      <c r="D37" s="478"/>
      <c r="E37" s="855"/>
      <c r="F37" s="855"/>
      <c r="G37" s="855"/>
      <c r="H37" s="1172">
        <v>5913520</v>
      </c>
      <c r="I37" s="1173"/>
      <c r="J37" s="1171">
        <f t="shared" si="7"/>
        <v>5913520</v>
      </c>
      <c r="K37" s="1165">
        <f t="shared" si="8"/>
        <v>5913520</v>
      </c>
      <c r="L37" s="482"/>
      <c r="M37" s="854"/>
      <c r="N37" s="854"/>
      <c r="O37" s="854"/>
      <c r="P37" s="854"/>
      <c r="Q37" s="854"/>
      <c r="R37" s="481"/>
      <c r="S37" s="478">
        <f t="shared" si="5"/>
        <v>0</v>
      </c>
      <c r="T37" s="854"/>
      <c r="U37" s="855">
        <f>+F37-N37</f>
        <v>0</v>
      </c>
      <c r="V37" s="855">
        <f t="shared" si="6"/>
        <v>0</v>
      </c>
      <c r="W37" s="855"/>
      <c r="X37" s="855"/>
      <c r="Y37" s="481"/>
    </row>
    <row r="38" spans="1:25" ht="48.75" customHeight="1" hidden="1" thickBot="1">
      <c r="A38" s="1004">
        <v>10</v>
      </c>
      <c r="B38" s="981"/>
      <c r="C38" s="1005" t="s">
        <v>201</v>
      </c>
      <c r="D38" s="478"/>
      <c r="E38" s="855"/>
      <c r="F38" s="855"/>
      <c r="G38" s="855"/>
      <c r="H38" s="1172">
        <f>490000+300000</f>
        <v>790000</v>
      </c>
      <c r="I38" s="1173"/>
      <c r="J38" s="1171">
        <f t="shared" si="7"/>
        <v>790000</v>
      </c>
      <c r="K38" s="1165">
        <f t="shared" si="8"/>
        <v>790000</v>
      </c>
      <c r="L38" s="482"/>
      <c r="M38" s="854"/>
      <c r="N38" s="854"/>
      <c r="O38" s="854"/>
      <c r="P38" s="854"/>
      <c r="Q38" s="854"/>
      <c r="R38" s="481"/>
      <c r="S38" s="478">
        <f t="shared" si="5"/>
        <v>0</v>
      </c>
      <c r="T38" s="854"/>
      <c r="U38" s="855">
        <f>+F38-N38</f>
        <v>0</v>
      </c>
      <c r="V38" s="855">
        <f t="shared" si="6"/>
        <v>0</v>
      </c>
      <c r="W38" s="855"/>
      <c r="X38" s="855"/>
      <c r="Y38" s="481"/>
    </row>
    <row r="39" spans="1:25" ht="48.75" customHeight="1" hidden="1" thickBot="1">
      <c r="A39" s="1015">
        <v>15</v>
      </c>
      <c r="B39" s="981"/>
      <c r="C39" s="476"/>
      <c r="D39" s="478"/>
      <c r="E39" s="855"/>
      <c r="F39" s="855"/>
      <c r="G39" s="855"/>
      <c r="H39" s="1172">
        <v>951829</v>
      </c>
      <c r="I39" s="1173">
        <v>256994</v>
      </c>
      <c r="J39" s="1171">
        <f t="shared" si="7"/>
        <v>1208823</v>
      </c>
      <c r="K39" s="1165">
        <f t="shared" si="8"/>
        <v>1208823</v>
      </c>
      <c r="L39" s="482"/>
      <c r="M39" s="854"/>
      <c r="N39" s="854"/>
      <c r="O39" s="854"/>
      <c r="P39" s="854"/>
      <c r="Q39" s="854"/>
      <c r="R39" s="481"/>
      <c r="S39" s="478"/>
      <c r="T39" s="854"/>
      <c r="U39" s="855"/>
      <c r="V39" s="855">
        <f t="shared" si="6"/>
        <v>0</v>
      </c>
      <c r="W39" s="855"/>
      <c r="X39" s="855"/>
      <c r="Y39" s="481"/>
    </row>
    <row r="40" spans="1:25" ht="48.75" customHeight="1" hidden="1">
      <c r="A40" s="1015">
        <v>16</v>
      </c>
      <c r="B40" s="981"/>
      <c r="C40" s="476"/>
      <c r="D40" s="478"/>
      <c r="E40" s="855"/>
      <c r="F40" s="855"/>
      <c r="G40" s="855"/>
      <c r="H40" s="855">
        <f>3545250+4260657+300000</f>
        <v>8105907</v>
      </c>
      <c r="I40" s="855">
        <f>957217+1150377</f>
        <v>2107594</v>
      </c>
      <c r="J40" s="1171">
        <f t="shared" si="7"/>
        <v>10213501</v>
      </c>
      <c r="K40" s="1165">
        <f t="shared" si="8"/>
        <v>10213501</v>
      </c>
      <c r="L40" s="482"/>
      <c r="M40" s="854"/>
      <c r="N40" s="854"/>
      <c r="O40" s="854">
        <v>10624300</v>
      </c>
      <c r="P40" s="855"/>
      <c r="Q40" s="855"/>
      <c r="R40" s="481"/>
      <c r="S40" s="482"/>
      <c r="T40" s="854"/>
      <c r="U40" s="854"/>
      <c r="V40" s="855">
        <f>G40-O40</f>
        <v>-10624300</v>
      </c>
      <c r="W40" s="855"/>
      <c r="X40" s="855"/>
      <c r="Y40" s="481"/>
    </row>
    <row r="41" spans="1:25" ht="29.25" customHeight="1" hidden="1" thickBot="1">
      <c r="A41" s="1015"/>
      <c r="B41" s="48"/>
      <c r="C41" s="476" t="s">
        <v>201</v>
      </c>
      <c r="D41" s="478"/>
      <c r="E41" s="855"/>
      <c r="F41" s="855"/>
      <c r="G41" s="855"/>
      <c r="H41" s="855"/>
      <c r="I41" s="855"/>
      <c r="J41" s="1171"/>
      <c r="K41" s="1166"/>
      <c r="L41" s="482"/>
      <c r="M41" s="854"/>
      <c r="N41" s="854"/>
      <c r="O41" s="854"/>
      <c r="P41" s="855"/>
      <c r="Q41" s="855"/>
      <c r="R41" s="481" t="e">
        <f>O41/M41</f>
        <v>#DIV/0!</v>
      </c>
      <c r="S41" s="482"/>
      <c r="T41" s="854"/>
      <c r="U41" s="854"/>
      <c r="V41" s="855">
        <f>G41-O41</f>
        <v>0</v>
      </c>
      <c r="W41" s="855"/>
      <c r="X41" s="855">
        <f>I41-Q41</f>
        <v>0</v>
      </c>
      <c r="Y41" s="481" t="e">
        <f>V41/T41</f>
        <v>#DIV/0!</v>
      </c>
    </row>
    <row r="42" spans="1:25" ht="29.25" customHeight="1" thickBot="1">
      <c r="A42" s="1295" t="s">
        <v>1</v>
      </c>
      <c r="B42" s="1296"/>
      <c r="C42" s="996"/>
      <c r="D42" s="480">
        <f aca="true" t="shared" si="9" ref="D42:J42">SUM(D29:D41)</f>
        <v>196331430</v>
      </c>
      <c r="E42" s="703">
        <f>SUM(E29:E41)</f>
        <v>185289479</v>
      </c>
      <c r="F42" s="703">
        <f t="shared" si="9"/>
        <v>0</v>
      </c>
      <c r="G42" s="703">
        <f t="shared" si="9"/>
        <v>0</v>
      </c>
      <c r="H42" s="703">
        <f t="shared" si="9"/>
        <v>135164168</v>
      </c>
      <c r="I42" s="703">
        <f t="shared" si="9"/>
        <v>34680805</v>
      </c>
      <c r="J42" s="1174">
        <f t="shared" si="9"/>
        <v>169844973</v>
      </c>
      <c r="K42" s="1164"/>
      <c r="L42" s="480">
        <f aca="true" t="shared" si="10" ref="L42:Q42">SUM(L29:L41)</f>
        <v>111605906</v>
      </c>
      <c r="M42" s="703">
        <f>SUM(M29:M41)</f>
        <v>111605906</v>
      </c>
      <c r="N42" s="703">
        <f t="shared" si="10"/>
        <v>102254376</v>
      </c>
      <c r="O42" s="703">
        <f t="shared" si="10"/>
        <v>112878676</v>
      </c>
      <c r="P42" s="703">
        <f t="shared" si="10"/>
        <v>0</v>
      </c>
      <c r="Q42" s="703">
        <f t="shared" si="10"/>
        <v>0</v>
      </c>
      <c r="R42" s="704">
        <f>P42/O42</f>
        <v>0</v>
      </c>
      <c r="S42" s="480">
        <f aca="true" t="shared" si="11" ref="S42:X42">SUM(S29:S41)</f>
        <v>84725524</v>
      </c>
      <c r="T42" s="703">
        <f t="shared" si="11"/>
        <v>73683573</v>
      </c>
      <c r="U42" s="703">
        <f t="shared" si="11"/>
        <v>-102254376</v>
      </c>
      <c r="V42" s="703">
        <f t="shared" si="11"/>
        <v>-112878676</v>
      </c>
      <c r="W42" s="703">
        <f t="shared" si="11"/>
        <v>116499655</v>
      </c>
      <c r="X42" s="703">
        <f t="shared" si="11"/>
        <v>32316217</v>
      </c>
      <c r="Y42" s="704">
        <f>W42/V42</f>
        <v>-1.0320785034721704</v>
      </c>
    </row>
    <row r="43" spans="4:10" ht="15.75">
      <c r="D43" s="896"/>
      <c r="J43" s="1007">
        <v>88902078</v>
      </c>
    </row>
    <row r="44" spans="4:19" ht="12.75">
      <c r="D44" s="1016" t="str">
        <f>IF(L42+S42=D42," ","HIBA-NEM EGYENLŐ")</f>
        <v> </v>
      </c>
      <c r="H44" s="1007">
        <v>174171208</v>
      </c>
      <c r="I44" s="1007">
        <v>45212707</v>
      </c>
      <c r="J44" s="1007">
        <f>+J43-J42</f>
        <v>-80942895</v>
      </c>
      <c r="L44" s="1007"/>
      <c r="M44" s="1007"/>
      <c r="N44" s="1007"/>
      <c r="O44" s="1007"/>
      <c r="P44" s="1007"/>
      <c r="Q44" s="1007"/>
      <c r="R44" s="1007"/>
      <c r="S44" s="1007"/>
    </row>
    <row r="45" spans="8:22" ht="12.75">
      <c r="H45" s="1007">
        <f>+H44-H42</f>
        <v>39007040</v>
      </c>
      <c r="I45" s="1007">
        <f>+I44-I42</f>
        <v>10531902</v>
      </c>
      <c r="V45" s="1007"/>
    </row>
  </sheetData>
  <sheetProtection/>
  <mergeCells count="11">
    <mergeCell ref="S27:Y27"/>
    <mergeCell ref="A42:B42"/>
    <mergeCell ref="D3:J3"/>
    <mergeCell ref="L3:R3"/>
    <mergeCell ref="S3:Y3"/>
    <mergeCell ref="A22:B22"/>
    <mergeCell ref="A1:T1"/>
    <mergeCell ref="A25:T25"/>
    <mergeCell ref="S2:T2"/>
    <mergeCell ref="D27:J27"/>
    <mergeCell ref="L27:R27"/>
  </mergeCells>
  <printOptions horizontalCentered="1"/>
  <pageMargins left="0.5905511811023623" right="0.5905511811023623" top="1.0901041666666667" bottom="0.7874015748031497" header="0.5118110236220472" footer="0.31496062992125984"/>
  <pageSetup fitToHeight="1" fitToWidth="1" horizontalDpi="300" verticalDpi="300" orientation="landscape" paperSize="9" scale="56" r:id="rId1"/>
  <headerFooter alignWithMargins="0">
    <oddHeader xml:space="preserve">&amp;CÖNKORMÁNYZATI BERUHÁZÁSOK ÉS FELÚJÍTÁSOK
2020.
&amp;R&amp;"Arial CE,Félkövér dőlt"6/a számú melléklet
(7/a. számú mellléklet a 4/2020. (III.13.) önkormányzati rendelethez)  </oddHeader>
  </headerFooter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selection activeCell="F3" sqref="F3"/>
    </sheetView>
  </sheetViews>
  <sheetFormatPr defaultColWidth="9.140625" defaultRowHeight="12.75"/>
  <cols>
    <col min="1" max="1" width="6.57421875" style="14" customWidth="1"/>
    <col min="2" max="2" width="26.7109375" style="1024" customWidth="1"/>
    <col min="3" max="3" width="28.28125" style="1024" customWidth="1"/>
    <col min="4" max="4" width="5.00390625" style="14" customWidth="1"/>
    <col min="5" max="6" width="14.57421875" style="14" customWidth="1"/>
    <col min="7" max="7" width="15.7109375" style="14" hidden="1" customWidth="1"/>
    <col min="8" max="8" width="13.57421875" style="14" hidden="1" customWidth="1"/>
    <col min="9" max="9" width="12.57421875" style="14" hidden="1" customWidth="1"/>
    <col min="10" max="10" width="13.8515625" style="14" hidden="1" customWidth="1"/>
    <col min="11" max="11" width="14.7109375" style="14" hidden="1" customWidth="1"/>
    <col min="12" max="12" width="11.421875" style="14" hidden="1" customWidth="1"/>
    <col min="13" max="13" width="9.140625" style="14" hidden="1" customWidth="1"/>
    <col min="14" max="15" width="9.140625" style="14" customWidth="1"/>
    <col min="16" max="16384" width="9.140625" style="14" customWidth="1"/>
  </cols>
  <sheetData>
    <row r="1" spans="2:9" ht="12.75">
      <c r="B1" s="1069"/>
      <c r="D1" s="1310" t="s">
        <v>619</v>
      </c>
      <c r="E1" s="1310"/>
      <c r="F1" s="1310"/>
      <c r="G1" s="1310"/>
      <c r="H1" s="1310"/>
      <c r="I1" s="1310"/>
    </row>
    <row r="2" spans="2:9" ht="12.75">
      <c r="B2" s="1069"/>
      <c r="D2" s="1187"/>
      <c r="E2" s="1187"/>
      <c r="F2" s="1187" t="s">
        <v>626</v>
      </c>
      <c r="G2" s="1187"/>
      <c r="H2" s="1187"/>
      <c r="I2" s="1187"/>
    </row>
    <row r="3" ht="12.75">
      <c r="B3" s="1069"/>
    </row>
    <row r="4" spans="1:6" ht="18">
      <c r="A4" s="1308" t="s">
        <v>53</v>
      </c>
      <c r="B4" s="1308"/>
      <c r="C4" s="1308"/>
      <c r="D4" s="1308"/>
      <c r="E4" s="1308"/>
      <c r="F4" s="1070"/>
    </row>
    <row r="5" spans="1:6" ht="18">
      <c r="A5" s="1308" t="s">
        <v>483</v>
      </c>
      <c r="B5" s="1308"/>
      <c r="C5" s="1308"/>
      <c r="D5" s="1308"/>
      <c r="E5" s="1308"/>
      <c r="F5" s="1070"/>
    </row>
    <row r="6" spans="1:6" ht="18">
      <c r="A6" s="1070"/>
      <c r="B6" s="1071"/>
      <c r="C6" s="1071"/>
      <c r="D6" s="1070"/>
      <c r="E6" s="1070"/>
      <c r="F6" s="1070"/>
    </row>
    <row r="7" spans="1:6" ht="15.75">
      <c r="A7" s="1309" t="s">
        <v>574</v>
      </c>
      <c r="B7" s="1309"/>
      <c r="C7" s="1309"/>
      <c r="D7" s="1309"/>
      <c r="E7" s="1309"/>
      <c r="F7" s="1072"/>
    </row>
    <row r="8" spans="1:10" ht="16.5" customHeight="1" thickBot="1">
      <c r="A8" s="1073"/>
      <c r="B8" s="1074"/>
      <c r="C8" s="1311" t="s">
        <v>456</v>
      </c>
      <c r="D8" s="1311"/>
      <c r="E8" s="1311"/>
      <c r="F8" s="1311"/>
      <c r="G8" s="1311"/>
      <c r="H8" s="1311"/>
      <c r="I8" s="1311"/>
      <c r="J8" s="1311"/>
    </row>
    <row r="9" spans="1:11" ht="45.75" customHeight="1" thickBot="1">
      <c r="A9" s="1075" t="s">
        <v>18</v>
      </c>
      <c r="B9" s="1076" t="s">
        <v>16</v>
      </c>
      <c r="C9" s="1076" t="s">
        <v>17</v>
      </c>
      <c r="D9" s="1077" t="s">
        <v>28</v>
      </c>
      <c r="E9" s="1078" t="s">
        <v>199</v>
      </c>
      <c r="F9" s="1076" t="s">
        <v>215</v>
      </c>
      <c r="G9" s="1076" t="s">
        <v>218</v>
      </c>
      <c r="H9" s="1076" t="s">
        <v>220</v>
      </c>
      <c r="I9" s="1076" t="s">
        <v>232</v>
      </c>
      <c r="J9" s="1076" t="s">
        <v>237</v>
      </c>
      <c r="K9" s="1028"/>
    </row>
    <row r="10" spans="1:10" ht="30" customHeight="1">
      <c r="A10" s="16">
        <v>1</v>
      </c>
      <c r="B10" s="801" t="s">
        <v>323</v>
      </c>
      <c r="C10" s="801" t="str">
        <f>+'[2]Beled Közös Hiv.'!$B$6</f>
        <v>Informatikai eszközök létesítése (nagyértékű)</v>
      </c>
      <c r="D10" s="706" t="s">
        <v>14</v>
      </c>
      <c r="E10" s="709">
        <v>444500</v>
      </c>
      <c r="F10" s="709">
        <v>444500</v>
      </c>
      <c r="G10" s="708"/>
      <c r="H10" s="708"/>
      <c r="I10" s="708"/>
      <c r="J10" s="708"/>
    </row>
    <row r="11" spans="1:10" ht="30" customHeight="1">
      <c r="A11" s="35">
        <v>2</v>
      </c>
      <c r="B11" s="801" t="s">
        <v>323</v>
      </c>
      <c r="C11" s="801" t="str">
        <f>+'[2]Beled Közös Hiv.'!$B$11</f>
        <v>Egyéb berendezések beszerzése</v>
      </c>
      <c r="D11" s="802" t="s">
        <v>14</v>
      </c>
      <c r="E11" s="709">
        <v>444500</v>
      </c>
      <c r="F11" s="709">
        <v>444500</v>
      </c>
      <c r="G11" s="803"/>
      <c r="H11" s="803"/>
      <c r="I11" s="803"/>
      <c r="J11" s="803"/>
    </row>
    <row r="12" spans="1:10" ht="30" customHeight="1">
      <c r="A12" s="35">
        <v>3</v>
      </c>
      <c r="B12" s="801" t="s">
        <v>206</v>
      </c>
      <c r="C12" s="801" t="str">
        <f>+'[3]bölcsőde'!$C$81</f>
        <v>Homoktakaró , baby taxi, trambulin</v>
      </c>
      <c r="D12" s="802" t="s">
        <v>14</v>
      </c>
      <c r="E12" s="709">
        <v>114300</v>
      </c>
      <c r="F12" s="709">
        <v>114300</v>
      </c>
      <c r="G12" s="803"/>
      <c r="H12" s="803"/>
      <c r="I12" s="803"/>
      <c r="J12" s="803"/>
    </row>
    <row r="13" spans="1:16" ht="30" customHeight="1">
      <c r="A13" s="35">
        <v>4</v>
      </c>
      <c r="B13" s="801" t="s">
        <v>206</v>
      </c>
      <c r="C13" s="801" t="str">
        <f>+'[3]bölcsőde'!$C$82</f>
        <v>mikrohullámú sütő</v>
      </c>
      <c r="D13" s="1079" t="s">
        <v>14</v>
      </c>
      <c r="E13" s="709">
        <v>25400</v>
      </c>
      <c r="F13" s="709">
        <v>25400</v>
      </c>
      <c r="G13" s="803"/>
      <c r="H13" s="803"/>
      <c r="I13" s="803"/>
      <c r="J13" s="803"/>
      <c r="K13" s="1028"/>
      <c r="N13" s="1028"/>
      <c r="P13" s="1028"/>
    </row>
    <row r="14" spans="1:10" ht="30" customHeight="1">
      <c r="A14" s="35">
        <v>5</v>
      </c>
      <c r="B14" s="801" t="s">
        <v>206</v>
      </c>
      <c r="C14" s="801" t="str">
        <f>+'[3]bölcsőde'!$C$83</f>
        <v>benti csúszda</v>
      </c>
      <c r="D14" s="1079" t="s">
        <v>14</v>
      </c>
      <c r="E14" s="709">
        <v>203199.8</v>
      </c>
      <c r="F14" s="709">
        <v>203199.8</v>
      </c>
      <c r="G14" s="803"/>
      <c r="H14" s="803"/>
      <c r="I14" s="803"/>
      <c r="J14" s="803"/>
    </row>
    <row r="15" spans="1:13" ht="30" customHeight="1">
      <c r="A15" s="35">
        <v>6</v>
      </c>
      <c r="B15" s="801" t="s">
        <v>206</v>
      </c>
      <c r="C15" s="801" t="str">
        <f>+'[3]intézményi étkezés óvoda'!$B$5</f>
        <v>3 részes légkeveréses sütő</v>
      </c>
      <c r="D15" s="1080" t="s">
        <v>14</v>
      </c>
      <c r="E15" s="709">
        <v>800000.17</v>
      </c>
      <c r="F15" s="709">
        <v>800000.17</v>
      </c>
      <c r="G15" s="709"/>
      <c r="H15" s="709"/>
      <c r="I15" s="709"/>
      <c r="J15" s="709"/>
      <c r="K15" s="14">
        <v>18110</v>
      </c>
      <c r="L15" s="14">
        <v>4890</v>
      </c>
      <c r="M15" s="14">
        <f aca="true" t="shared" si="0" ref="M15:M32">SUM(K15:L15)</f>
        <v>23000</v>
      </c>
    </row>
    <row r="16" spans="1:13" ht="30" customHeight="1">
      <c r="A16" s="35">
        <v>7</v>
      </c>
      <c r="B16" s="801" t="s">
        <v>206</v>
      </c>
      <c r="C16" s="801" t="str">
        <f>+'[3]intézményi étkezés óvoda'!$B$6</f>
        <v>400 literes fagyasztó láda</v>
      </c>
      <c r="D16" s="707" t="s">
        <v>14</v>
      </c>
      <c r="E16" s="709">
        <v>164999.67</v>
      </c>
      <c r="F16" s="709">
        <v>164999.67</v>
      </c>
      <c r="G16" s="709"/>
      <c r="H16" s="709"/>
      <c r="I16" s="709"/>
      <c r="J16" s="709"/>
      <c r="K16" s="14">
        <v>422000</v>
      </c>
      <c r="L16" s="14">
        <v>113940</v>
      </c>
      <c r="M16" s="14">
        <f t="shared" si="0"/>
        <v>535940</v>
      </c>
    </row>
    <row r="17" spans="1:13" ht="36.75" customHeight="1">
      <c r="A17" s="35">
        <v>8</v>
      </c>
      <c r="B17" s="801" t="s">
        <v>206</v>
      </c>
      <c r="C17" s="801" t="str">
        <f>+'[3]művház'!$B$131</f>
        <v>mosógép, porszívó, állófogasok 2 db</v>
      </c>
      <c r="D17" s="707" t="s">
        <v>14</v>
      </c>
      <c r="E17" s="709">
        <v>228600</v>
      </c>
      <c r="F17" s="709">
        <v>228600</v>
      </c>
      <c r="G17" s="709"/>
      <c r="H17" s="709"/>
      <c r="I17" s="709"/>
      <c r="J17" s="709"/>
      <c r="K17" s="1028">
        <f>811623+73140</f>
        <v>884763</v>
      </c>
      <c r="L17" s="14">
        <f>169971+49167+19748</f>
        <v>238886</v>
      </c>
      <c r="M17" s="14">
        <f t="shared" si="0"/>
        <v>1123649</v>
      </c>
    </row>
    <row r="18" spans="1:16" ht="36.75" customHeight="1">
      <c r="A18" s="35">
        <v>9</v>
      </c>
      <c r="B18" s="801" t="s">
        <v>206</v>
      </c>
      <c r="C18" s="801" t="str">
        <f>+'[3]Beled óvoda'!$B$151</f>
        <v>iratmegsemmisítő, szőnyegtisztító gép</v>
      </c>
      <c r="D18" s="1079" t="s">
        <v>14</v>
      </c>
      <c r="E18" s="709">
        <v>190500</v>
      </c>
      <c r="F18" s="709">
        <v>190500</v>
      </c>
      <c r="G18" s="709"/>
      <c r="H18" s="709"/>
      <c r="I18" s="709"/>
      <c r="J18" s="709"/>
      <c r="K18" s="1028">
        <v>16520</v>
      </c>
      <c r="L18" s="14">
        <v>4460</v>
      </c>
      <c r="M18" s="14">
        <f t="shared" si="0"/>
        <v>20980</v>
      </c>
      <c r="P18" s="1028"/>
    </row>
    <row r="19" spans="1:13" ht="36.75" customHeight="1">
      <c r="A19" s="35">
        <v>10</v>
      </c>
      <c r="B19" s="801" t="s">
        <v>206</v>
      </c>
      <c r="C19" s="801" t="str">
        <f>+'[3]Beled óvoda'!$B$152</f>
        <v>udvari asztal, padok, tranbulin, napernyők</v>
      </c>
      <c r="D19" s="1079" t="s">
        <v>14</v>
      </c>
      <c r="E19" s="709">
        <v>254000</v>
      </c>
      <c r="F19" s="709">
        <v>254000</v>
      </c>
      <c r="G19" s="709"/>
      <c r="H19" s="709"/>
      <c r="I19" s="709"/>
      <c r="J19" s="709"/>
      <c r="K19" s="1028">
        <v>62831</v>
      </c>
      <c r="L19" s="14">
        <v>16965</v>
      </c>
      <c r="M19" s="14">
        <f t="shared" si="0"/>
        <v>79796</v>
      </c>
    </row>
    <row r="20" spans="1:13" ht="36.75" customHeight="1" thickBot="1">
      <c r="A20" s="35">
        <v>11</v>
      </c>
      <c r="B20" s="801" t="s">
        <v>206</v>
      </c>
      <c r="C20" s="801" t="str">
        <f>+'[3]Beled óvoda'!$B$149</f>
        <v>ágvágó, sövénynyíró</v>
      </c>
      <c r="D20" s="1079" t="s">
        <v>14</v>
      </c>
      <c r="E20" s="709">
        <v>114300</v>
      </c>
      <c r="F20" s="709">
        <v>114300</v>
      </c>
      <c r="G20" s="709"/>
      <c r="H20" s="709"/>
      <c r="I20" s="709"/>
      <c r="J20" s="709"/>
      <c r="K20" s="1028">
        <v>92598</v>
      </c>
      <c r="L20" s="14">
        <v>25002</v>
      </c>
      <c r="M20" s="14">
        <f t="shared" si="0"/>
        <v>117600</v>
      </c>
    </row>
    <row r="21" spans="1:15" ht="36.75" customHeight="1" hidden="1" thickBot="1">
      <c r="A21" s="35">
        <v>12</v>
      </c>
      <c r="B21" s="801" t="s">
        <v>206</v>
      </c>
      <c r="C21" s="34"/>
      <c r="D21" s="1079" t="s">
        <v>14</v>
      </c>
      <c r="E21" s="709"/>
      <c r="F21" s="709"/>
      <c r="G21" s="709"/>
      <c r="H21" s="709"/>
      <c r="I21" s="709"/>
      <c r="J21" s="709"/>
      <c r="K21" s="1028">
        <f>8661+1</f>
        <v>8662</v>
      </c>
      <c r="L21" s="14">
        <v>2338</v>
      </c>
      <c r="M21" s="14">
        <f t="shared" si="0"/>
        <v>11000</v>
      </c>
      <c r="O21" s="14">
        <f>11000*0.27</f>
        <v>2970</v>
      </c>
    </row>
    <row r="22" spans="1:13" ht="36.75" customHeight="1" hidden="1">
      <c r="A22" s="16">
        <v>13</v>
      </c>
      <c r="B22" s="801" t="s">
        <v>206</v>
      </c>
      <c r="C22" s="34"/>
      <c r="D22" s="1079" t="s">
        <v>14</v>
      </c>
      <c r="E22" s="709"/>
      <c r="F22" s="709"/>
      <c r="G22" s="709"/>
      <c r="H22" s="709"/>
      <c r="I22" s="709"/>
      <c r="J22" s="709"/>
      <c r="K22" s="1028">
        <f>18898+195802+202061+23614-8661-1</f>
        <v>431713</v>
      </c>
      <c r="L22" s="14">
        <f>5102+52867+60905-2338</f>
        <v>116536</v>
      </c>
      <c r="M22" s="14">
        <f t="shared" si="0"/>
        <v>548249</v>
      </c>
    </row>
    <row r="23" spans="1:13" ht="36.75" customHeight="1" hidden="1" thickBot="1">
      <c r="A23" s="35">
        <v>14</v>
      </c>
      <c r="B23" s="801" t="s">
        <v>206</v>
      </c>
      <c r="C23" s="34"/>
      <c r="D23" s="1079" t="s">
        <v>14</v>
      </c>
      <c r="E23" s="709"/>
      <c r="F23" s="709"/>
      <c r="G23" s="709"/>
      <c r="H23" s="709"/>
      <c r="I23" s="709"/>
      <c r="J23" s="709"/>
      <c r="K23" s="1028">
        <f>93334+125951</f>
        <v>219285</v>
      </c>
      <c r="L23" s="14">
        <f>34007+25200</f>
        <v>59207</v>
      </c>
      <c r="M23" s="14">
        <f t="shared" si="0"/>
        <v>278492</v>
      </c>
    </row>
    <row r="24" spans="1:13" ht="36.75" customHeight="1" hidden="1">
      <c r="A24" s="16">
        <v>15</v>
      </c>
      <c r="B24" s="801" t="s">
        <v>206</v>
      </c>
      <c r="C24" s="34"/>
      <c r="D24" s="1079" t="s">
        <v>14</v>
      </c>
      <c r="E24" s="709"/>
      <c r="F24" s="709"/>
      <c r="G24" s="709"/>
      <c r="H24" s="709"/>
      <c r="I24" s="709"/>
      <c r="J24" s="709"/>
      <c r="K24" s="1028">
        <f>253200+53470</f>
        <v>306670</v>
      </c>
      <c r="L24" s="14">
        <f>68364+14437</f>
        <v>82801</v>
      </c>
      <c r="M24" s="14">
        <f t="shared" si="0"/>
        <v>389471</v>
      </c>
    </row>
    <row r="25" spans="1:13" ht="36.75" customHeight="1" hidden="1" thickBot="1">
      <c r="A25" s="35">
        <v>16</v>
      </c>
      <c r="B25" s="801" t="s">
        <v>206</v>
      </c>
      <c r="C25" s="34"/>
      <c r="D25" s="1079" t="s">
        <v>14</v>
      </c>
      <c r="E25" s="709"/>
      <c r="F25" s="709"/>
      <c r="G25" s="709"/>
      <c r="H25" s="709"/>
      <c r="I25" s="709"/>
      <c r="J25" s="709"/>
      <c r="K25" s="1028">
        <v>175567</v>
      </c>
      <c r="L25" s="14">
        <v>47403</v>
      </c>
      <c r="M25" s="14">
        <f t="shared" si="0"/>
        <v>222970</v>
      </c>
    </row>
    <row r="26" spans="1:13" ht="36.75" customHeight="1" hidden="1">
      <c r="A26" s="16">
        <v>17</v>
      </c>
      <c r="B26" s="801" t="s">
        <v>206</v>
      </c>
      <c r="C26" s="34"/>
      <c r="D26" s="1079" t="s">
        <v>14</v>
      </c>
      <c r="E26" s="709"/>
      <c r="F26" s="709"/>
      <c r="G26" s="709"/>
      <c r="H26" s="709"/>
      <c r="I26" s="709"/>
      <c r="J26" s="709"/>
      <c r="K26" s="1028">
        <v>96940</v>
      </c>
      <c r="L26" s="14">
        <v>26174</v>
      </c>
      <c r="M26" s="14">
        <f t="shared" si="0"/>
        <v>123114</v>
      </c>
    </row>
    <row r="27" spans="1:13" ht="36.75" customHeight="1" hidden="1">
      <c r="A27" s="35">
        <v>21</v>
      </c>
      <c r="B27" s="801" t="s">
        <v>206</v>
      </c>
      <c r="C27" s="1081"/>
      <c r="D27" s="1079" t="s">
        <v>14</v>
      </c>
      <c r="E27" s="709"/>
      <c r="F27" s="709"/>
      <c r="G27" s="709"/>
      <c r="H27" s="709"/>
      <c r="I27" s="709"/>
      <c r="J27" s="709"/>
      <c r="K27" s="1028">
        <v>105500</v>
      </c>
      <c r="L27" s="14">
        <v>28485</v>
      </c>
      <c r="M27" s="14">
        <f t="shared" si="0"/>
        <v>133985</v>
      </c>
    </row>
    <row r="28" spans="1:13" ht="36.75" customHeight="1" hidden="1">
      <c r="A28" s="35">
        <v>22</v>
      </c>
      <c r="B28" s="801" t="s">
        <v>206</v>
      </c>
      <c r="C28" s="34"/>
      <c r="D28" s="1079" t="s">
        <v>14</v>
      </c>
      <c r="E28" s="709"/>
      <c r="F28" s="709"/>
      <c r="G28" s="709"/>
      <c r="H28" s="709"/>
      <c r="I28" s="709"/>
      <c r="J28" s="709"/>
      <c r="K28" s="1028">
        <v>14370</v>
      </c>
      <c r="L28" s="14">
        <v>3880</v>
      </c>
      <c r="M28" s="14">
        <f t="shared" si="0"/>
        <v>18250</v>
      </c>
    </row>
    <row r="29" spans="1:13" ht="36.75" customHeight="1" hidden="1">
      <c r="A29" s="35">
        <v>23</v>
      </c>
      <c r="B29" s="801" t="s">
        <v>206</v>
      </c>
      <c r="C29" s="34"/>
      <c r="D29" s="1079" t="s">
        <v>14</v>
      </c>
      <c r="E29" s="709"/>
      <c r="F29" s="709"/>
      <c r="G29" s="709"/>
      <c r="H29" s="709"/>
      <c r="I29" s="709"/>
      <c r="J29" s="709"/>
      <c r="K29" s="1028">
        <v>243000</v>
      </c>
      <c r="L29" s="14">
        <v>65610</v>
      </c>
      <c r="M29" s="14">
        <f t="shared" si="0"/>
        <v>308610</v>
      </c>
    </row>
    <row r="30" spans="1:13" ht="36.75" customHeight="1" hidden="1">
      <c r="A30" s="35">
        <v>24</v>
      </c>
      <c r="B30" s="801" t="s">
        <v>206</v>
      </c>
      <c r="C30" s="34"/>
      <c r="D30" s="1079" t="s">
        <v>14</v>
      </c>
      <c r="E30" s="709"/>
      <c r="F30" s="709"/>
      <c r="G30" s="709"/>
      <c r="H30" s="709"/>
      <c r="I30" s="709"/>
      <c r="J30" s="709"/>
      <c r="K30" s="14">
        <v>45750</v>
      </c>
      <c r="L30" s="1082">
        <v>12353</v>
      </c>
      <c r="M30" s="14">
        <f t="shared" si="0"/>
        <v>58103</v>
      </c>
    </row>
    <row r="31" spans="1:13" ht="36.75" customHeight="1" hidden="1">
      <c r="A31" s="35">
        <v>25</v>
      </c>
      <c r="B31" s="801" t="s">
        <v>206</v>
      </c>
      <c r="C31" s="34"/>
      <c r="D31" s="1079" t="s">
        <v>14</v>
      </c>
      <c r="E31" s="709"/>
      <c r="F31" s="709"/>
      <c r="G31" s="709"/>
      <c r="H31" s="709"/>
      <c r="I31" s="709"/>
      <c r="J31" s="709"/>
      <c r="K31" s="14">
        <v>159303</v>
      </c>
      <c r="L31" s="1082">
        <v>43012</v>
      </c>
      <c r="M31" s="14">
        <f t="shared" si="0"/>
        <v>202315</v>
      </c>
    </row>
    <row r="32" spans="1:13" ht="36.75" customHeight="1" hidden="1" thickBot="1">
      <c r="A32" s="1088">
        <v>26</v>
      </c>
      <c r="B32" s="801" t="s">
        <v>206</v>
      </c>
      <c r="C32" s="34"/>
      <c r="D32" s="1079" t="s">
        <v>14</v>
      </c>
      <c r="E32" s="709"/>
      <c r="F32" s="709"/>
      <c r="G32" s="709"/>
      <c r="H32" s="709"/>
      <c r="I32" s="709"/>
      <c r="J32" s="709"/>
      <c r="K32" s="14">
        <v>73492</v>
      </c>
      <c r="L32" s="1082">
        <v>19843</v>
      </c>
      <c r="M32" s="14">
        <f t="shared" si="0"/>
        <v>93335</v>
      </c>
    </row>
    <row r="33" spans="1:12" s="1087" customFormat="1" ht="30" customHeight="1" thickBot="1">
      <c r="A33" s="1306" t="s">
        <v>1</v>
      </c>
      <c r="B33" s="1307"/>
      <c r="C33" s="1083"/>
      <c r="D33" s="1084"/>
      <c r="E33" s="1085">
        <f aca="true" t="shared" si="1" ref="E33:J33">SUM(E10:E32)</f>
        <v>2984299.64</v>
      </c>
      <c r="F33" s="1085">
        <f>SUM(F10:F32)</f>
        <v>2984299.64</v>
      </c>
      <c r="G33" s="1085">
        <f t="shared" si="1"/>
        <v>0</v>
      </c>
      <c r="H33" s="1085">
        <f>SUM(H10:H32)</f>
        <v>0</v>
      </c>
      <c r="I33" s="1085">
        <f t="shared" si="1"/>
        <v>0</v>
      </c>
      <c r="J33" s="1085">
        <f t="shared" si="1"/>
        <v>0</v>
      </c>
      <c r="K33" s="1086">
        <f>SUM(K13:K32)</f>
        <v>3377074</v>
      </c>
      <c r="L33" s="1086">
        <f>SUM(L13:L32)</f>
        <v>911785</v>
      </c>
    </row>
    <row r="34" ht="12.75" hidden="1">
      <c r="K34" s="14">
        <f>301792+3624773</f>
        <v>3926565</v>
      </c>
    </row>
    <row r="35" spans="5:11" ht="12.75" hidden="1">
      <c r="E35" s="14" t="str">
        <f>IF(E33='5.2 sz. m ÁMK'!D45+'5.2 sz. m ÁMK'!D47+'5.1 sz. m Köz Hiv'!D42+'5.1 sz. m Köz Hiv'!D43," ","HIBA - nem egyenlő")</f>
        <v>HIBA - nem egyenlő</v>
      </c>
      <c r="F35" s="14" t="str">
        <f>IF(F33='5.2 sz. m ÁMK'!E45+'5.2 sz. m ÁMK'!E47+'5.1 sz. m Köz Hiv'!E42+'5.1 sz. m Köz Hiv'!E43," ","HIBA - nem egyenlő")</f>
        <v>HIBA - nem egyenlő</v>
      </c>
      <c r="H35" s="14">
        <f>+'5.2 sz. m ÁMK'!F45+'5.1 sz. m Köz Hiv'!G42</f>
        <v>0</v>
      </c>
      <c r="I35" s="14">
        <f>+'5.2 sz. m ÁMK'!G45+'5.1 sz. m Köz Hiv'!H42</f>
        <v>0</v>
      </c>
      <c r="J35" s="14">
        <f>+'5.2 sz. m ÁMK'!H45+'5.1 sz. m Köz Hiv'!I42</f>
        <v>0</v>
      </c>
      <c r="K35" s="14">
        <f>+K33-K34</f>
        <v>-549491</v>
      </c>
    </row>
    <row r="36" ht="12.75" hidden="1"/>
    <row r="37" ht="12.75" hidden="1">
      <c r="H37" s="14">
        <f>+'5.2 sz. m ÁMK'!G45</f>
        <v>0</v>
      </c>
    </row>
    <row r="38" ht="12.75" hidden="1">
      <c r="H38" s="1028">
        <f>SUM(H13:H32)</f>
        <v>0</v>
      </c>
    </row>
    <row r="39" spans="6:8" ht="12.75" hidden="1">
      <c r="F39" s="1028"/>
      <c r="H39" s="1028">
        <f>+H37-H38</f>
        <v>0</v>
      </c>
    </row>
  </sheetData>
  <sheetProtection/>
  <mergeCells count="6">
    <mergeCell ref="A33:B33"/>
    <mergeCell ref="A4:E4"/>
    <mergeCell ref="A5:E5"/>
    <mergeCell ref="A7:E7"/>
    <mergeCell ref="D1:I1"/>
    <mergeCell ref="C8:J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Reni</cp:lastModifiedBy>
  <cp:lastPrinted>2017-02-27T15:14:38Z</cp:lastPrinted>
  <dcterms:created xsi:type="dcterms:W3CDTF">2000-01-07T08:44:52Z</dcterms:created>
  <dcterms:modified xsi:type="dcterms:W3CDTF">2020-07-23T09:27:56Z</dcterms:modified>
  <cp:category/>
  <cp:version/>
  <cp:contentType/>
  <cp:contentStatus/>
</cp:coreProperties>
</file>